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uba\Desktop\B737\Brake Cooling Schedule\"/>
    </mc:Choice>
  </mc:AlternateContent>
  <workbookProtection lockStructure="1"/>
  <bookViews>
    <workbookView xWindow="0" yWindow="0" windowWidth="24000" windowHeight="9885"/>
  </bookViews>
  <sheets>
    <sheet name="737-800" sheetId="1" r:id="rId1"/>
    <sheet name="Calculations" sheetId="2" state="hidden" r:id="rId2"/>
    <sheet name="Data - brake energy" sheetId="3" state="hidden" r:id="rId3"/>
    <sheet name="Data - Events" sheetId="4" state="hidden" r:id="rId4"/>
    <sheet name="Data - cooling time" sheetId="5" state="hidden" r:id="rId5"/>
  </sheets>
  <definedNames>
    <definedName name="Brake_monitor_temp">'737-800'!$C$7</definedName>
    <definedName name="Brakes_ON_speed">'737-800'!$C$8</definedName>
    <definedName name="Event">'737-800'!$C$13</definedName>
    <definedName name="Headwind_component">'737-800'!$C$10</definedName>
    <definedName name="OAT">'737-800'!$C$11</definedName>
    <definedName name="Pressure_altitude">'737-800'!$C$12</definedName>
    <definedName name="Reverse_credit">'737-800'!$C$14</definedName>
    <definedName name="Taxi_miles">'737-800'!$C$16</definedName>
    <definedName name="Type_of_brakes">'737-800'!$C$15</definedName>
    <definedName name="Using_brake_monitor">'737-800'!$C$6</definedName>
    <definedName name="Weight">'737-800'!$C$9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2" i="1"/>
  <c r="F11" i="1"/>
  <c r="F10" i="1"/>
  <c r="F16" i="1"/>
  <c r="F14" i="1"/>
  <c r="F13" i="1"/>
  <c r="F9" i="1"/>
  <c r="F8" i="1"/>
  <c r="B93" i="2" l="1"/>
  <c r="B92" i="2"/>
  <c r="B110" i="2" l="1"/>
  <c r="B114" i="2" s="1"/>
  <c r="B96" i="2"/>
  <c r="B102" i="2" s="1"/>
  <c r="B58" i="2"/>
  <c r="B111" i="2" l="1"/>
  <c r="B101" i="2"/>
  <c r="B97" i="2"/>
  <c r="B115" i="2"/>
  <c r="B112" i="2"/>
  <c r="B117" i="2" s="1"/>
  <c r="B99" i="2"/>
  <c r="B116" i="2"/>
  <c r="B98" i="2"/>
  <c r="B103" i="2" s="1"/>
  <c r="B100" i="2"/>
  <c r="B113" i="2"/>
  <c r="B44" i="2"/>
  <c r="B45" i="2" s="1"/>
  <c r="B43" i="2"/>
  <c r="B46" i="2" s="1"/>
  <c r="B2" i="2"/>
  <c r="B5" i="2" s="1"/>
  <c r="B119" i="2" l="1"/>
  <c r="B121" i="2" s="1"/>
  <c r="B118" i="2"/>
  <c r="B120" i="2" s="1"/>
  <c r="B105" i="2"/>
  <c r="B107" i="2" s="1"/>
  <c r="B125" i="2" s="1"/>
  <c r="B104" i="2"/>
  <c r="B106" i="2" s="1"/>
  <c r="B124" i="2" s="1"/>
  <c r="L46" i="2"/>
  <c r="O47" i="2"/>
  <c r="O49" i="2"/>
  <c r="O51" i="2"/>
  <c r="O54" i="2" s="1"/>
  <c r="K50" i="2"/>
  <c r="R51" i="2"/>
  <c r="S50" i="2"/>
  <c r="S47" i="2"/>
  <c r="S49" i="2"/>
  <c r="S54" i="2" s="1"/>
  <c r="O46" i="2"/>
  <c r="O48" i="2"/>
  <c r="O50" i="2"/>
  <c r="S51" i="2"/>
  <c r="S46" i="2"/>
  <c r="S48" i="2"/>
  <c r="K49" i="2"/>
  <c r="R50" i="2"/>
  <c r="R49" i="2"/>
  <c r="R54" i="2" s="1"/>
  <c r="R48" i="2"/>
  <c r="R47" i="2"/>
  <c r="N46" i="2"/>
  <c r="K46" i="2"/>
  <c r="K48" i="2"/>
  <c r="Q51" i="2"/>
  <c r="M51" i="2"/>
  <c r="Q50" i="2"/>
  <c r="M50" i="2"/>
  <c r="Q49" i="2"/>
  <c r="M49" i="2"/>
  <c r="Q48" i="2"/>
  <c r="M48" i="2"/>
  <c r="Q47" i="2"/>
  <c r="M47" i="2"/>
  <c r="Q46" i="2"/>
  <c r="M46" i="2"/>
  <c r="N51" i="2"/>
  <c r="N50" i="2"/>
  <c r="N49" i="2"/>
  <c r="N48" i="2"/>
  <c r="N47" i="2"/>
  <c r="R46" i="2"/>
  <c r="K51" i="2"/>
  <c r="K47" i="2"/>
  <c r="P51" i="2"/>
  <c r="L51" i="2"/>
  <c r="P50" i="2"/>
  <c r="L50" i="2"/>
  <c r="P49" i="2"/>
  <c r="L49" i="2"/>
  <c r="P48" i="2"/>
  <c r="L48" i="2"/>
  <c r="P47" i="2"/>
  <c r="L47" i="2"/>
  <c r="P46" i="2"/>
  <c r="B32" i="2"/>
  <c r="B33" i="2" s="1"/>
  <c r="B3" i="2"/>
  <c r="B4" i="2"/>
  <c r="B14" i="2" s="1"/>
  <c r="B26" i="2"/>
  <c r="B27" i="2" s="1"/>
  <c r="B28" i="2" s="1"/>
  <c r="B30" i="2" s="1"/>
  <c r="N54" i="2" l="1"/>
  <c r="Q54" i="2"/>
  <c r="K54" i="2"/>
  <c r="P54" i="2"/>
  <c r="L54" i="2"/>
  <c r="M54" i="2"/>
  <c r="B10" i="2"/>
  <c r="B9" i="2"/>
  <c r="B34" i="2"/>
  <c r="B35" i="2" s="1"/>
  <c r="B21" i="2"/>
  <c r="B23" i="2"/>
  <c r="B8" i="2"/>
  <c r="B11" i="2" l="1"/>
  <c r="B15" i="2" s="1"/>
  <c r="B17" i="2" s="1"/>
  <c r="B22" i="2"/>
  <c r="B24" i="2" s="1"/>
  <c r="B16" i="2" l="1"/>
  <c r="B18" i="2" s="1"/>
  <c r="B13" i="2"/>
  <c r="L38" i="2" s="1"/>
  <c r="K39" i="2" l="1"/>
  <c r="K35" i="2"/>
  <c r="K5" i="2"/>
  <c r="K38" i="2"/>
  <c r="M12" i="2"/>
  <c r="M31" i="2"/>
  <c r="I29" i="2"/>
  <c r="I21" i="2"/>
  <c r="M32" i="2"/>
  <c r="I17" i="2"/>
  <c r="H10" i="2"/>
  <c r="K32" i="2"/>
  <c r="M21" i="2"/>
  <c r="J31" i="2"/>
  <c r="I34" i="2"/>
  <c r="I38" i="2"/>
  <c r="S38" i="2" s="1"/>
  <c r="M30" i="2"/>
  <c r="L23" i="2"/>
  <c r="M5" i="2"/>
  <c r="K7" i="2"/>
  <c r="J34" i="2"/>
  <c r="K15" i="2"/>
  <c r="I37" i="2"/>
  <c r="I18" i="2"/>
  <c r="L20" i="2"/>
  <c r="H13" i="2"/>
  <c r="I20" i="2"/>
  <c r="L36" i="2"/>
  <c r="J15" i="2"/>
  <c r="H29" i="2"/>
  <c r="I22" i="2"/>
  <c r="J23" i="2"/>
  <c r="H26" i="2"/>
  <c r="L39" i="2"/>
  <c r="J18" i="2"/>
  <c r="K25" i="2"/>
  <c r="M11" i="2"/>
  <c r="M9" i="2"/>
  <c r="K29" i="2"/>
  <c r="L7" i="2"/>
  <c r="I36" i="2"/>
  <c r="J39" i="2"/>
  <c r="H34" i="2"/>
  <c r="L30" i="2"/>
  <c r="I10" i="2"/>
  <c r="K27" i="2"/>
  <c r="L28" i="2"/>
  <c r="I27" i="2"/>
  <c r="L33" i="2"/>
  <c r="H18" i="2"/>
  <c r="I12" i="2"/>
  <c r="L12" i="2"/>
  <c r="I6" i="2"/>
  <c r="L5" i="2"/>
  <c r="M15" i="2"/>
  <c r="I25" i="2"/>
  <c r="K17" i="2"/>
  <c r="H20" i="2"/>
  <c r="M17" i="2"/>
  <c r="H36" i="2"/>
  <c r="J9" i="2"/>
  <c r="M27" i="2"/>
  <c r="J25" i="2"/>
  <c r="H23" i="2"/>
  <c r="H39" i="2"/>
  <c r="R39" i="2" s="1"/>
  <c r="J12" i="2"/>
  <c r="L13" i="2"/>
  <c r="L14" i="2"/>
  <c r="J28" i="2"/>
  <c r="K28" i="2"/>
  <c r="L17" i="2"/>
  <c r="I39" i="2"/>
  <c r="J24" i="2"/>
  <c r="M28" i="2"/>
  <c r="J8" i="2"/>
  <c r="H35" i="2"/>
  <c r="R35" i="2" s="1"/>
  <c r="K16" i="2"/>
  <c r="H19" i="2"/>
  <c r="L21" i="2"/>
  <c r="L10" i="2"/>
  <c r="J16" i="2"/>
  <c r="H27" i="2"/>
  <c r="L29" i="2"/>
  <c r="S29" i="2" s="1"/>
  <c r="J32" i="2"/>
  <c r="L18" i="2"/>
  <c r="J6" i="2"/>
  <c r="H8" i="2"/>
  <c r="H24" i="2"/>
  <c r="L37" i="2"/>
  <c r="J13" i="2"/>
  <c r="H16" i="2"/>
  <c r="H6" i="2"/>
  <c r="J21" i="2"/>
  <c r="T21" i="2" s="1"/>
  <c r="K12" i="2"/>
  <c r="J29" i="2"/>
  <c r="L34" i="2"/>
  <c r="M26" i="2"/>
  <c r="L26" i="2"/>
  <c r="I16" i="2"/>
  <c r="M10" i="2"/>
  <c r="M7" i="2"/>
  <c r="J37" i="2"/>
  <c r="K13" i="2"/>
  <c r="K21" i="2"/>
  <c r="K8" i="2"/>
  <c r="H32" i="2"/>
  <c r="I8" i="2"/>
  <c r="M18" i="2"/>
  <c r="I32" i="2"/>
  <c r="M33" i="2"/>
  <c r="I35" i="2"/>
  <c r="K37" i="2"/>
  <c r="M19" i="2"/>
  <c r="L19" i="2"/>
  <c r="K24" i="2"/>
  <c r="M24" i="2"/>
  <c r="M6" i="2"/>
  <c r="J5" i="2"/>
  <c r="K26" i="2"/>
  <c r="K18" i="2"/>
  <c r="K6" i="2"/>
  <c r="I19" i="2"/>
  <c r="K34" i="2"/>
  <c r="R34" i="2" s="1"/>
  <c r="H9" i="2"/>
  <c r="J19" i="2"/>
  <c r="T19" i="2" s="1"/>
  <c r="M29" i="2"/>
  <c r="K30" i="2"/>
  <c r="I30" i="2"/>
  <c r="M39" i="2"/>
  <c r="J30" i="2"/>
  <c r="I23" i="2"/>
  <c r="K23" i="2"/>
  <c r="R23" i="2" s="1"/>
  <c r="J14" i="2"/>
  <c r="L35" i="2"/>
  <c r="L6" i="2"/>
  <c r="K14" i="2"/>
  <c r="H11" i="2"/>
  <c r="H25" i="2"/>
  <c r="J11" i="2"/>
  <c r="M16" i="2"/>
  <c r="H30" i="2"/>
  <c r="H17" i="2"/>
  <c r="L27" i="2"/>
  <c r="J38" i="2"/>
  <c r="H14" i="2"/>
  <c r="J35" i="2"/>
  <c r="M38" i="2"/>
  <c r="M36" i="2"/>
  <c r="L11" i="2"/>
  <c r="J22" i="2"/>
  <c r="H33" i="2"/>
  <c r="L8" i="2"/>
  <c r="L24" i="2"/>
  <c r="K11" i="2"/>
  <c r="L16" i="2"/>
  <c r="J27" i="2"/>
  <c r="H38" i="2"/>
  <c r="I14" i="2"/>
  <c r="I33" i="2"/>
  <c r="H22" i="2"/>
  <c r="L32" i="2"/>
  <c r="M8" i="2"/>
  <c r="I15" i="2"/>
  <c r="I28" i="2"/>
  <c r="H21" i="2"/>
  <c r="K19" i="2"/>
  <c r="I31" i="2"/>
  <c r="K33" i="2"/>
  <c r="H5" i="2"/>
  <c r="I13" i="2"/>
  <c r="M22" i="2"/>
  <c r="K20" i="2"/>
  <c r="K31" i="2"/>
  <c r="H31" i="2"/>
  <c r="K10" i="2"/>
  <c r="R10" i="2" s="1"/>
  <c r="K36" i="2"/>
  <c r="R36" i="2" s="1"/>
  <c r="M20" i="2"/>
  <c r="K22" i="2"/>
  <c r="J36" i="2"/>
  <c r="M25" i="2"/>
  <c r="M23" i="2"/>
  <c r="M35" i="2"/>
  <c r="J7" i="2"/>
  <c r="I26" i="2"/>
  <c r="H7" i="2"/>
  <c r="J10" i="2"/>
  <c r="H28" i="2"/>
  <c r="M37" i="2"/>
  <c r="I11" i="2"/>
  <c r="I9" i="2"/>
  <c r="K9" i="2"/>
  <c r="L31" i="2"/>
  <c r="I5" i="2"/>
  <c r="M14" i="2"/>
  <c r="H15" i="2"/>
  <c r="L15" i="2"/>
  <c r="J20" i="2"/>
  <c r="J33" i="2"/>
  <c r="L25" i="2"/>
  <c r="I7" i="2"/>
  <c r="J17" i="2"/>
  <c r="M34" i="2"/>
  <c r="H12" i="2"/>
  <c r="L9" i="2"/>
  <c r="L22" i="2"/>
  <c r="I24" i="2"/>
  <c r="J26" i="2"/>
  <c r="H37" i="2"/>
  <c r="M13" i="2"/>
  <c r="T31" i="2"/>
  <c r="S23" i="2" l="1"/>
  <c r="T32" i="2"/>
  <c r="T12" i="2"/>
  <c r="S17" i="2"/>
  <c r="T39" i="2"/>
  <c r="T9" i="2"/>
  <c r="R5" i="2"/>
  <c r="R25" i="2"/>
  <c r="R32" i="2"/>
  <c r="S25" i="2"/>
  <c r="S21" i="2"/>
  <c r="Z21" i="2" s="1"/>
  <c r="S5" i="2"/>
  <c r="R7" i="2"/>
  <c r="T23" i="2"/>
  <c r="R38" i="2"/>
  <c r="Y38" i="2" s="1"/>
  <c r="S18" i="2"/>
  <c r="S10" i="2"/>
  <c r="S36" i="2"/>
  <c r="Y36" i="2" s="1"/>
  <c r="T30" i="2"/>
  <c r="T5" i="2"/>
  <c r="Z5" i="2" s="1"/>
  <c r="S22" i="2"/>
  <c r="S37" i="2"/>
  <c r="T18" i="2"/>
  <c r="S34" i="2"/>
  <c r="Y34" i="2" s="1"/>
  <c r="T15" i="2"/>
  <c r="S20" i="2"/>
  <c r="R15" i="2"/>
  <c r="S33" i="2"/>
  <c r="T11" i="2"/>
  <c r="S6" i="2"/>
  <c r="R26" i="2"/>
  <c r="R9" i="2"/>
  <c r="T34" i="2"/>
  <c r="R17" i="2"/>
  <c r="R13" i="2"/>
  <c r="S39" i="2"/>
  <c r="S27" i="2"/>
  <c r="S12" i="2"/>
  <c r="R29" i="2"/>
  <c r="Y29" i="2" s="1"/>
  <c r="T8" i="2"/>
  <c r="T17" i="2"/>
  <c r="S13" i="2"/>
  <c r="S7" i="2"/>
  <c r="T25" i="2"/>
  <c r="S28" i="2"/>
  <c r="S30" i="2"/>
  <c r="R27" i="2"/>
  <c r="R20" i="2"/>
  <c r="R18" i="2"/>
  <c r="T16" i="2"/>
  <c r="T28" i="2"/>
  <c r="T13" i="2"/>
  <c r="T27" i="2"/>
  <c r="Z27" i="2" s="1"/>
  <c r="R28" i="2"/>
  <c r="T24" i="2"/>
  <c r="R16" i="2"/>
  <c r="T10" i="2"/>
  <c r="Z10" i="2" s="1"/>
  <c r="S14" i="2"/>
  <c r="R24" i="2"/>
  <c r="R21" i="2"/>
  <c r="R37" i="2"/>
  <c r="R6" i="2"/>
  <c r="Y6" i="2" s="1"/>
  <c r="R19" i="2"/>
  <c r="T6" i="2"/>
  <c r="T29" i="2"/>
  <c r="Z29" i="2" s="1"/>
  <c r="R8" i="2"/>
  <c r="S26" i="2"/>
  <c r="R12" i="2"/>
  <c r="T33" i="2"/>
  <c r="T26" i="2"/>
  <c r="T7" i="2"/>
  <c r="Y39" i="2"/>
  <c r="Y23" i="2"/>
  <c r="S16" i="2"/>
  <c r="T37" i="2"/>
  <c r="S8" i="2"/>
  <c r="R30" i="2"/>
  <c r="S35" i="2"/>
  <c r="Y35" i="2" s="1"/>
  <c r="T22" i="2"/>
  <c r="S32" i="2"/>
  <c r="Z32" i="2" s="1"/>
  <c r="Y10" i="2"/>
  <c r="S19" i="2"/>
  <c r="R14" i="2"/>
  <c r="T14" i="2"/>
  <c r="R11" i="2"/>
  <c r="T36" i="2"/>
  <c r="R33" i="2"/>
  <c r="T38" i="2"/>
  <c r="Z38" i="2" s="1"/>
  <c r="R22" i="2"/>
  <c r="S24" i="2"/>
  <c r="S11" i="2"/>
  <c r="T35" i="2"/>
  <c r="R31" i="2"/>
  <c r="S15" i="2"/>
  <c r="S31" i="2"/>
  <c r="S9" i="2"/>
  <c r="T20" i="2"/>
  <c r="Z23" i="2" l="1"/>
  <c r="Z12" i="2"/>
  <c r="Y17" i="2"/>
  <c r="Z17" i="2"/>
  <c r="Z39" i="2"/>
  <c r="AA39" i="2" s="1"/>
  <c r="Z30" i="2"/>
  <c r="Y21" i="2"/>
  <c r="AA21" i="2" s="1"/>
  <c r="Z18" i="2"/>
  <c r="Y24" i="2"/>
  <c r="Y5" i="2"/>
  <c r="AA5" i="2" s="1"/>
  <c r="Z13" i="2"/>
  <c r="Y9" i="2"/>
  <c r="Z33" i="2"/>
  <c r="Z22" i="2"/>
  <c r="Y22" i="2"/>
  <c r="Z25" i="2"/>
  <c r="Z8" i="2"/>
  <c r="Y18" i="2"/>
  <c r="Y33" i="2"/>
  <c r="Y25" i="2"/>
  <c r="AA25" i="2" s="1"/>
  <c r="Z36" i="2"/>
  <c r="AA36" i="2" s="1"/>
  <c r="Z34" i="2"/>
  <c r="AA34" i="2" s="1"/>
  <c r="Z20" i="2"/>
  <c r="Y26" i="2"/>
  <c r="Z37" i="2"/>
  <c r="Z6" i="2"/>
  <c r="AA6" i="2" s="1"/>
  <c r="Y27" i="2"/>
  <c r="AA27" i="2" s="1"/>
  <c r="Y13" i="2"/>
  <c r="Z14" i="2"/>
  <c r="Z28" i="2"/>
  <c r="Y7" i="2"/>
  <c r="Y20" i="2"/>
  <c r="Y37" i="2"/>
  <c r="AA37" i="2" s="1"/>
  <c r="AA38" i="2"/>
  <c r="Y28" i="2"/>
  <c r="Y32" i="2"/>
  <c r="AA32" i="2" s="1"/>
  <c r="Z16" i="2"/>
  <c r="Y12" i="2"/>
  <c r="AA12" i="2" s="1"/>
  <c r="Y30" i="2"/>
  <c r="Z26" i="2"/>
  <c r="AA26" i="2" s="1"/>
  <c r="Y31" i="2"/>
  <c r="Z7" i="2"/>
  <c r="Y19" i="2"/>
  <c r="Y14" i="2"/>
  <c r="Y16" i="2"/>
  <c r="Y8" i="2"/>
  <c r="AA23" i="2"/>
  <c r="Z35" i="2"/>
  <c r="AA35" i="2" s="1"/>
  <c r="AA10" i="2"/>
  <c r="Y11" i="2"/>
  <c r="Z19" i="2"/>
  <c r="AA29" i="2"/>
  <c r="Z11" i="2"/>
  <c r="Z9" i="2"/>
  <c r="Y15" i="2"/>
  <c r="Z15" i="2"/>
  <c r="Z31" i="2"/>
  <c r="Z24" i="2"/>
  <c r="AA17" i="2" l="1"/>
  <c r="AA14" i="2"/>
  <c r="AA30" i="2"/>
  <c r="AE16" i="2"/>
  <c r="AE18" i="2"/>
  <c r="AA18" i="2"/>
  <c r="AE11" i="2" s="1"/>
  <c r="AA24" i="2"/>
  <c r="AA33" i="2"/>
  <c r="AA13" i="2"/>
  <c r="AA9" i="2"/>
  <c r="AA22" i="2"/>
  <c r="AE15" i="2" s="1"/>
  <c r="AA8" i="2"/>
  <c r="AA20" i="2"/>
  <c r="AE13" i="2" s="1"/>
  <c r="AA28" i="2"/>
  <c r="AE7" i="2" s="1"/>
  <c r="AA7" i="2"/>
  <c r="AA31" i="2"/>
  <c r="AA16" i="2"/>
  <c r="AE9" i="2" s="1"/>
  <c r="AA19" i="2"/>
  <c r="AE12" i="2" s="1"/>
  <c r="AA11" i="2"/>
  <c r="AA15" i="2"/>
  <c r="AF9" i="2" l="1"/>
  <c r="AF11" i="2"/>
  <c r="AE8" i="2"/>
  <c r="AF8" i="2" s="1"/>
  <c r="AE10" i="2"/>
  <c r="AE6" i="2"/>
  <c r="AF6" i="2" s="1"/>
  <c r="AE5" i="2"/>
  <c r="AF5" i="2" s="1"/>
  <c r="AE14" i="2"/>
  <c r="AF7" i="2" s="1"/>
  <c r="AE17" i="2"/>
  <c r="AF10" i="2" s="1"/>
  <c r="B37" i="2"/>
  <c r="B36" i="2" l="1"/>
  <c r="B39" i="2" s="1"/>
  <c r="J5" i="1" s="1"/>
  <c r="B48" i="2" l="1"/>
  <c r="B49" i="2" s="1"/>
  <c r="B53" i="2" l="1"/>
  <c r="B52" i="2"/>
  <c r="B50" i="2"/>
  <c r="B51" i="2" s="1"/>
  <c r="B54" i="2" l="1"/>
  <c r="B75" i="2" s="1"/>
  <c r="B81" i="2" s="1"/>
  <c r="B78" i="2" l="1"/>
  <c r="B76" i="2"/>
  <c r="B79" i="2"/>
  <c r="B80" i="2"/>
  <c r="B77" i="2"/>
  <c r="J6" i="1"/>
  <c r="B61" i="2"/>
  <c r="B65" i="2" s="1"/>
  <c r="B62" i="2"/>
  <c r="B82" i="2"/>
  <c r="B84" i="2" s="1"/>
  <c r="B86" i="2" s="1"/>
  <c r="B63" i="2" l="1"/>
  <c r="B64" i="2"/>
  <c r="B67" i="2"/>
  <c r="B66" i="2"/>
  <c r="B68" i="2"/>
  <c r="B83" i="2"/>
  <c r="B85" i="2" s="1"/>
  <c r="B70" i="2" l="1"/>
  <c r="B72" i="2" s="1"/>
  <c r="B89" i="2" s="1"/>
  <c r="B129" i="2" s="1"/>
  <c r="J8" i="1" s="1"/>
  <c r="B69" i="2"/>
  <c r="B71" i="2" s="1"/>
  <c r="B88" i="2" s="1"/>
  <c r="B128" i="2" s="1"/>
  <c r="J7" i="1" s="1"/>
</calcChain>
</file>

<file path=xl/sharedStrings.xml><?xml version="1.0" encoding="utf-8"?>
<sst xmlns="http://schemas.openxmlformats.org/spreadsheetml/2006/main" count="246" uniqueCount="170">
  <si>
    <t>Reference Brake Energy Per Brake (Millions of Foot Pounds)</t>
  </si>
  <si>
    <t>WIND CORRECTED BRAKES ON SPEED (KIAS)*</t>
  </si>
  <si>
    <t>WEIGHT (1000 KG)</t>
  </si>
  <si>
    <t>OAT (°C)</t>
  </si>
  <si>
    <t>PRESSURE ALTITUDE (1000 FT)</t>
  </si>
  <si>
    <t>Headwind component:</t>
  </si>
  <si>
    <t>Range</t>
  </si>
  <si>
    <t>Weight:</t>
  </si>
  <si>
    <t>kts</t>
  </si>
  <si>
    <t>OAT:</t>
  </si>
  <si>
    <t>°C</t>
  </si>
  <si>
    <t>Pressure altitude:</t>
  </si>
  <si>
    <t>ft</t>
  </si>
  <si>
    <t>Wind correction:</t>
  </si>
  <si>
    <t>Is headwind?</t>
  </si>
  <si>
    <t>Correction for headwind:</t>
  </si>
  <si>
    <t>Correction for tailwind:</t>
  </si>
  <si>
    <t>Wind corrected brakes on speed:</t>
  </si>
  <si>
    <t>corr for index of column:</t>
  </si>
  <si>
    <t>row number:</t>
  </si>
  <si>
    <t>[80-179]</t>
  </si>
  <si>
    <t>Selected columns (by speed):</t>
  </si>
  <si>
    <t>Selected cols by alt:</t>
  </si>
  <si>
    <t>LOWER ALT</t>
  </si>
  <si>
    <t>HIGHER ALT</t>
  </si>
  <si>
    <t>alt / 1000</t>
  </si>
  <si>
    <t>Number of selected column (speed):</t>
  </si>
  <si>
    <t>No of col (alt):</t>
  </si>
  <si>
    <t>alt over breakpoint:</t>
  </si>
  <si>
    <t>Interpolation multiplier:</t>
  </si>
  <si>
    <t>Alt step:</t>
  </si>
  <si>
    <t>INTERPOLATED:</t>
  </si>
  <si>
    <t>Selected by weight:</t>
  </si>
  <si>
    <t>kg</t>
  </si>
  <si>
    <t>[40 000-79 999]</t>
  </si>
  <si>
    <t>no of row (weight):</t>
  </si>
  <si>
    <t>weight / 1000:</t>
  </si>
  <si>
    <t>correct for desc weight:</t>
  </si>
  <si>
    <t>corr for position:</t>
  </si>
  <si>
    <t>weight interpol multiplier:</t>
  </si>
  <si>
    <t>Weight step:</t>
  </si>
  <si>
    <t>OAT row no:</t>
  </si>
  <si>
    <t>Floor OAT:</t>
  </si>
  <si>
    <t>Interpol. Multiplier:</t>
  </si>
  <si>
    <t>Ceil OAT:</t>
  </si>
  <si>
    <t>[0-49]</t>
  </si>
  <si>
    <t>Final figure:</t>
  </si>
  <si>
    <t>Floor value:</t>
  </si>
  <si>
    <t>Ceil value:</t>
  </si>
  <si>
    <t>INPUT:</t>
  </si>
  <si>
    <t>OUTPUT:</t>
  </si>
  <si>
    <t>(Millions of Foot Pounds)</t>
  </si>
  <si>
    <t>Reference Brake Energy Per Brake:</t>
  </si>
  <si>
    <t>Brakes ON speed:</t>
  </si>
  <si>
    <t>Speed interpolation:</t>
  </si>
  <si>
    <t>speed steps:</t>
  </si>
  <si>
    <t>lower speed:</t>
  </si>
  <si>
    <t>lower speed pos:</t>
  </si>
  <si>
    <t>upper speed:</t>
  </si>
  <si>
    <t>speed multiplier:</t>
  </si>
  <si>
    <t>alt:</t>
  </si>
  <si>
    <t>[0-9999]</t>
  </si>
  <si>
    <t>(negative for tailwind)</t>
  </si>
  <si>
    <t>Correction for GS (use 15C, 0 alt, 0 wind):</t>
  </si>
  <si>
    <t>Is ground speed used?</t>
  </si>
  <si>
    <t>Wind:</t>
  </si>
  <si>
    <t>IAS</t>
  </si>
  <si>
    <t>REFERENCE BRAKE ENERGY PER BRAKE (MILLIONS OF FOOT POUNDS)</t>
  </si>
  <si>
    <t>EVENT</t>
  </si>
  <si>
    <t>RTO MAX MAN</t>
  </si>
  <si>
    <t>LANDING</t>
  </si>
  <si>
    <r>
      <rPr>
        <sz val="12"/>
        <rFont val="Calibri"/>
        <family val="2"/>
        <charset val="238"/>
        <scheme val="minor"/>
      </rPr>
      <t>MAX MAN
MAX AUTO</t>
    </r>
  </si>
  <si>
    <r>
      <rPr>
        <sz val="12"/>
        <rFont val="Calibri"/>
        <family val="2"/>
        <charset val="238"/>
        <scheme val="minor"/>
      </rPr>
      <t>AUTOBRAKE 3
AUTOBRAKE 2
AUTOBRAKE 1</t>
    </r>
  </si>
  <si>
    <t>Event:</t>
  </si>
  <si>
    <t>LDG AUTOBRAKE 3</t>
  </si>
  <si>
    <t>LDG MAX MAN</t>
  </si>
  <si>
    <t>No reverse thrust</t>
  </si>
  <si>
    <t>Two Engine Detent Reverse Thrust</t>
  </si>
  <si>
    <t>Reverse credit:</t>
  </si>
  <si>
    <t>TWO ENG DETENT REV</t>
  </si>
  <si>
    <t>EVENT CALC:</t>
  </si>
  <si>
    <t>event list:</t>
  </si>
  <si>
    <t>row:</t>
  </si>
  <si>
    <t>LDG MAX AUTO</t>
  </si>
  <si>
    <t>LDG AUTOBRAKE 2</t>
  </si>
  <si>
    <t>LDG AUTOBRAKE 1</t>
  </si>
  <si>
    <t>Rev credit:</t>
  </si>
  <si>
    <t>No of table:</t>
  </si>
  <si>
    <t>Selected by rev credit:</t>
  </si>
  <si>
    <t>Event row:</t>
  </si>
  <si>
    <t>selected row:</t>
  </si>
  <si>
    <t>Brake energy:</t>
  </si>
  <si>
    <t>Col by energy:</t>
  </si>
  <si>
    <t>Lower value:</t>
  </si>
  <si>
    <t>Upper value:</t>
  </si>
  <si>
    <t>Lower desig:</t>
  </si>
  <si>
    <t>Upper desig:</t>
  </si>
  <si>
    <t>Multiplier:</t>
  </si>
  <si>
    <t>Event adjusted Brake Energy Per Brake:</t>
  </si>
  <si>
    <t>EVENT ADJUSTED BRAKE ENERGY (MILLIONS OF FOOT POUNDS)</t>
  </si>
  <si>
    <t>16 &amp; BELOW</t>
  </si>
  <si>
    <t>33 TO 48</t>
  </si>
  <si>
    <t>49 &amp; ABOVE</t>
  </si>
  <si>
    <t>BRAKE TEMPERATURE MONITOR SYSTEM INDICATION ON CDS</t>
  </si>
  <si>
    <t>UP TO 2.4</t>
  </si>
  <si>
    <t>5.0 TO 7.5</t>
  </si>
  <si>
    <t>7.5 &amp; ABOVE</t>
  </si>
  <si>
    <t>INFLIGHT GEAR DOWN</t>
  </si>
  <si>
    <t>NO SPECIAL PROCEDURE REQUIRED</t>
  </si>
  <si>
    <t>CAUTION</t>
  </si>
  <si>
    <t>FUSE PLUG MELT ZONE</t>
  </si>
  <si>
    <t>GROUND</t>
  </si>
  <si>
    <t>30 TO 41</t>
  </si>
  <si>
    <t>41 &amp; ABOVE</t>
  </si>
  <si>
    <t>UP TO 2.5</t>
  </si>
  <si>
    <t>5.0 TO 7.1</t>
  </si>
  <si>
    <t>7.1 &amp; ABOVE</t>
  </si>
  <si>
    <t>Cooling Time (Minutes) - Category C Steel Brakes</t>
  </si>
  <si>
    <t>Cooling Time (Minutes) - Category N Carbon Brakes</t>
  </si>
  <si>
    <t>BRAKE COOLING TIME:</t>
  </si>
  <si>
    <t>list of types:</t>
  </si>
  <si>
    <t>Category C Steel Brakes</t>
  </si>
  <si>
    <t>Category N Carbon Brakes</t>
  </si>
  <si>
    <t>Type of brakes:</t>
  </si>
  <si>
    <t>Event adjusted brake energy:</t>
  </si>
  <si>
    <t>Steel brakes:</t>
  </si>
  <si>
    <t>Row number:</t>
  </si>
  <si>
    <t>Lower value inflight:</t>
  </si>
  <si>
    <t>Upper value inflight:</t>
  </si>
  <si>
    <t>Lower ground:</t>
  </si>
  <si>
    <t>Upper ground:</t>
  </si>
  <si>
    <t>Interpolated inflight:</t>
  </si>
  <si>
    <t>Interpolated ground:</t>
  </si>
  <si>
    <t>Steel brakes result inflight:</t>
  </si>
  <si>
    <t>Texts:</t>
  </si>
  <si>
    <t>Steel brakes result ground:</t>
  </si>
  <si>
    <t>Carbon brakes:</t>
  </si>
  <si>
    <t>Inflight Gear down cooldown:</t>
  </si>
  <si>
    <t>(minutes)</t>
  </si>
  <si>
    <t>Ground cooldown:</t>
  </si>
  <si>
    <t>Carbon brakes result inflight:</t>
  </si>
  <si>
    <t>Carbon brakes result ground:</t>
  </si>
  <si>
    <t>Result upon brake selection inflight:</t>
  </si>
  <si>
    <t>Result upon brake selection ground:</t>
  </si>
  <si>
    <t>Using brake temp monitor?</t>
  </si>
  <si>
    <t>NO</t>
  </si>
  <si>
    <t>Brake temp indication:</t>
  </si>
  <si>
    <t>BTMS:</t>
  </si>
  <si>
    <t>Using brake monitor?</t>
  </si>
  <si>
    <t>Steel:</t>
  </si>
  <si>
    <t>Lower value inglight</t>
  </si>
  <si>
    <t>Upper value inglight:</t>
  </si>
  <si>
    <t>Lower value ground:</t>
  </si>
  <si>
    <t>Upper value ground:</t>
  </si>
  <si>
    <t>Lower Column:</t>
  </si>
  <si>
    <t>Result inflight:</t>
  </si>
  <si>
    <t>Result ground:</t>
  </si>
  <si>
    <t>Carbon:</t>
  </si>
  <si>
    <t>Result of BTMS based on selected b:</t>
  </si>
  <si>
    <t>Inglight:</t>
  </si>
  <si>
    <t>Ground:</t>
  </si>
  <si>
    <t>Selected output upon use of BTMS:</t>
  </si>
  <si>
    <t>Inflight</t>
  </si>
  <si>
    <t>Taxi miles:</t>
  </si>
  <si>
    <t>nm</t>
  </si>
  <si>
    <t>+ taxi included</t>
  </si>
  <si>
    <t>Recommended Brake Cooling Schedule</t>
  </si>
  <si>
    <t>Boeing 737-800 CFM56-7B26</t>
  </si>
  <si>
    <t>http://FL.Lumiart.cz</t>
  </si>
  <si>
    <t>© 2014 Jakub Klapka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</si>
</sst>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0.0"/>
    <numFmt numFmtId="166" formatCode="#,##0;#,##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0"/>
      <name val="Times New Roman"/>
      <family val="1"/>
      <charset val="204"/>
    </font>
    <font>
      <b/>
      <sz val="12"/>
      <color indexed="8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0" tint="-0.499984740745262"/>
      <name val="Calibri"/>
      <family val="2"/>
      <charset val="238"/>
      <scheme val="minor"/>
    </font>
    <font>
      <i/>
      <u/>
      <sz val="11"/>
      <color theme="0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12" fillId="0" borderId="45" applyNumberFormat="0" applyFill="0" applyAlignment="0" applyProtection="0"/>
    <xf numFmtId="0" fontId="13" fillId="0" borderId="46" applyNumberFormat="0" applyFill="0" applyAlignment="0" applyProtection="0"/>
    <xf numFmtId="0" fontId="14" fillId="0" borderId="0" applyNumberFormat="0" applyFill="0" applyBorder="0" applyAlignment="0" applyProtection="0"/>
  </cellStyleXfs>
  <cellXfs count="167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/>
    </xf>
    <xf numFmtId="165" fontId="3" fillId="0" borderId="7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165" fontId="3" fillId="0" borderId="8" xfId="0" applyNumberFormat="1" applyFont="1" applyFill="1" applyBorder="1" applyAlignment="1">
      <alignment horizontal="left" vertical="top" wrapText="1"/>
    </xf>
    <xf numFmtId="165" fontId="3" fillId="0" borderId="7" xfId="0" applyNumberFormat="1" applyFont="1" applyFill="1" applyBorder="1" applyAlignment="1">
      <alignment wrapText="1"/>
    </xf>
    <xf numFmtId="165" fontId="0" fillId="0" borderId="0" xfId="0" applyNumberFormat="1"/>
    <xf numFmtId="0" fontId="3" fillId="0" borderId="9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3" fillId="0" borderId="2" xfId="0" applyNumberFormat="1" applyFont="1" applyFill="1" applyBorder="1" applyAlignment="1">
      <alignment vertical="top" wrapText="1"/>
    </xf>
    <xf numFmtId="0" fontId="1" fillId="0" borderId="18" xfId="0" applyFont="1" applyBorder="1"/>
    <xf numFmtId="0" fontId="1" fillId="0" borderId="19" xfId="0" applyFont="1" applyBorder="1"/>
    <xf numFmtId="0" fontId="1" fillId="0" borderId="15" xfId="0" applyFont="1" applyBorder="1"/>
    <xf numFmtId="0" fontId="1" fillId="0" borderId="17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0" xfId="0" applyFont="1" applyFill="1" applyBorder="1"/>
    <xf numFmtId="0" fontId="0" fillId="2" borderId="0" xfId="0" applyFill="1"/>
    <xf numFmtId="0" fontId="0" fillId="3" borderId="12" xfId="0" applyFill="1" applyBorder="1"/>
    <xf numFmtId="0" fontId="0" fillId="3" borderId="13" xfId="0" applyFill="1" applyBorder="1"/>
    <xf numFmtId="0" fontId="0" fillId="3" borderId="0" xfId="0" applyFill="1" applyBorder="1"/>
    <xf numFmtId="0" fontId="0" fillId="3" borderId="19" xfId="0" applyFill="1" applyBorder="1"/>
    <xf numFmtId="0" fontId="0" fillId="3" borderId="16" xfId="0" applyFill="1" applyBorder="1"/>
    <xf numFmtId="0" fontId="0" fillId="3" borderId="17" xfId="0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5" fillId="3" borderId="0" xfId="0" applyFont="1" applyFill="1" applyBorder="1"/>
    <xf numFmtId="0" fontId="6" fillId="0" borderId="0" xfId="0" applyFont="1"/>
    <xf numFmtId="164" fontId="8" fillId="0" borderId="2" xfId="0" applyNumberFormat="1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vertical="top" wrapText="1"/>
    </xf>
    <xf numFmtId="164" fontId="9" fillId="0" borderId="9" xfId="0" applyNumberFormat="1" applyFont="1" applyBorder="1" applyAlignment="1">
      <alignment horizontal="center" vertical="top" wrapText="1"/>
    </xf>
    <xf numFmtId="0" fontId="9" fillId="0" borderId="9" xfId="0" applyNumberFormat="1" applyFont="1" applyBorder="1" applyAlignment="1">
      <alignment horizontal="left" vertical="top" wrapText="1"/>
    </xf>
    <xf numFmtId="0" fontId="9" fillId="0" borderId="9" xfId="0" applyNumberFormat="1" applyFont="1" applyBorder="1" applyAlignment="1">
      <alignment horizontal="center" vertical="top" wrapText="1"/>
    </xf>
    <xf numFmtId="0" fontId="0" fillId="0" borderId="0" xfId="0" applyAlignment="1"/>
    <xf numFmtId="0" fontId="8" fillId="0" borderId="28" xfId="0" applyNumberFormat="1" applyFont="1" applyFill="1" applyBorder="1" applyAlignment="1">
      <alignment vertical="top" wrapText="1"/>
    </xf>
    <xf numFmtId="0" fontId="0" fillId="3" borderId="14" xfId="0" applyFill="1" applyBorder="1"/>
    <xf numFmtId="0" fontId="0" fillId="3" borderId="19" xfId="0" applyFill="1" applyBorder="1" applyAlignment="1">
      <alignment horizontal="left"/>
    </xf>
    <xf numFmtId="0" fontId="10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6" fillId="0" borderId="0" xfId="0" applyFont="1" applyAlignment="1"/>
    <xf numFmtId="0" fontId="9" fillId="0" borderId="0" xfId="0" applyFont="1" applyBorder="1" applyAlignment="1">
      <alignment vertical="top"/>
    </xf>
    <xf numFmtId="164" fontId="9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vertical="top"/>
    </xf>
    <xf numFmtId="166" fontId="9" fillId="0" borderId="0" xfId="0" applyNumberFormat="1" applyFont="1" applyBorder="1" applyAlignment="1">
      <alignment horizontal="left" vertical="top"/>
    </xf>
    <xf numFmtId="166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top" textRotation="90"/>
    </xf>
    <xf numFmtId="0" fontId="11" fillId="0" borderId="0" xfId="0" applyFont="1" applyBorder="1" applyAlignment="1">
      <alignment horizontal="left" vertical="top"/>
    </xf>
    <xf numFmtId="0" fontId="9" fillId="0" borderId="34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0" fontId="0" fillId="0" borderId="0" xfId="0" quotePrefix="1"/>
    <xf numFmtId="0" fontId="5" fillId="3" borderId="16" xfId="0" applyFont="1" applyFill="1" applyBorder="1"/>
    <xf numFmtId="2" fontId="0" fillId="4" borderId="23" xfId="0" applyNumberFormat="1" applyFill="1" applyBorder="1"/>
    <xf numFmtId="2" fontId="0" fillId="4" borderId="22" xfId="0" applyNumberFormat="1" applyFill="1" applyBorder="1"/>
    <xf numFmtId="2" fontId="0" fillId="5" borderId="22" xfId="0" applyNumberFormat="1" applyFill="1" applyBorder="1"/>
    <xf numFmtId="2" fontId="0" fillId="5" borderId="21" xfId="0" applyNumberFormat="1" applyFill="1" applyBorder="1"/>
    <xf numFmtId="0" fontId="1" fillId="3" borderId="18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2" fillId="3" borderId="12" xfId="0" applyFont="1" applyFill="1" applyBorder="1" applyAlignment="1">
      <alignment horizontal="right" vertical="top"/>
    </xf>
    <xf numFmtId="0" fontId="2" fillId="3" borderId="18" xfId="0" applyFont="1" applyFill="1" applyBorder="1" applyAlignment="1">
      <alignment horizontal="right"/>
    </xf>
    <xf numFmtId="0" fontId="12" fillId="0" borderId="45" xfId="1" applyAlignment="1">
      <alignment horizontal="left"/>
    </xf>
    <xf numFmtId="0" fontId="13" fillId="0" borderId="46" xfId="2" applyAlignment="1">
      <alignment horizontal="center"/>
    </xf>
    <xf numFmtId="0" fontId="6" fillId="0" borderId="5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29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7" fillId="0" borderId="7" xfId="0" applyNumberFormat="1" applyFont="1" applyFill="1" applyBorder="1" applyAlignment="1">
      <alignment horizontal="left" vertical="top" textRotation="90" wrapText="1"/>
    </xf>
    <xf numFmtId="0" fontId="7" fillId="0" borderId="10" xfId="0" applyNumberFormat="1" applyFont="1" applyFill="1" applyBorder="1" applyAlignment="1">
      <alignment horizontal="left" vertical="top" textRotation="90" wrapText="1"/>
    </xf>
    <xf numFmtId="0" fontId="7" fillId="0" borderId="8" xfId="0" applyNumberFormat="1" applyFont="1" applyFill="1" applyBorder="1" applyAlignment="1">
      <alignment horizontal="left" vertical="top" textRotation="90" wrapText="1"/>
    </xf>
    <xf numFmtId="0" fontId="6" fillId="0" borderId="25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26" xfId="0" applyNumberFormat="1" applyFont="1" applyFill="1" applyBorder="1" applyAlignment="1">
      <alignment horizontal="left" vertical="top" wrapText="1"/>
    </xf>
    <xf numFmtId="0" fontId="6" fillId="0" borderId="27" xfId="0" applyNumberFormat="1" applyFont="1" applyFill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left" vertical="top" wrapText="1"/>
    </xf>
    <xf numFmtId="165" fontId="4" fillId="0" borderId="3" xfId="0" applyNumberFormat="1" applyFont="1" applyFill="1" applyBorder="1" applyAlignment="1">
      <alignment horizontal="left" vertical="top" wrapText="1"/>
    </xf>
    <xf numFmtId="165" fontId="4" fillId="0" borderId="4" xfId="0" applyNumberFormat="1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wrapText="1"/>
    </xf>
    <xf numFmtId="164" fontId="3" fillId="0" borderId="7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164" fontId="3" fillId="0" borderId="8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textRotation="90" wrapText="1"/>
    </xf>
    <xf numFmtId="0" fontId="9" fillId="0" borderId="10" xfId="0" applyFont="1" applyBorder="1" applyAlignment="1">
      <alignment horizontal="center" vertical="top" textRotation="90" wrapText="1"/>
    </xf>
    <xf numFmtId="0" fontId="9" fillId="0" borderId="8" xfId="0" applyFont="1" applyBorder="1" applyAlignment="1">
      <alignment horizontal="center" vertical="top" textRotation="90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textRotation="90" wrapText="1"/>
    </xf>
    <xf numFmtId="0" fontId="7" fillId="0" borderId="10" xfId="0" applyFont="1" applyFill="1" applyBorder="1" applyAlignment="1">
      <alignment horizontal="left" vertical="top" textRotation="90" wrapText="1"/>
    </xf>
    <xf numFmtId="0" fontId="7" fillId="0" borderId="8" xfId="0" applyFont="1" applyFill="1" applyBorder="1" applyAlignment="1">
      <alignment horizontal="left" vertical="top" textRotation="90" wrapText="1"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/>
    </xf>
    <xf numFmtId="0" fontId="9" fillId="0" borderId="44" xfId="0" applyNumberFormat="1" applyFont="1" applyBorder="1" applyAlignment="1">
      <alignment horizontal="center" vertical="center"/>
    </xf>
    <xf numFmtId="0" fontId="9" fillId="0" borderId="39" xfId="0" applyNumberFormat="1" applyFont="1" applyBorder="1" applyAlignment="1">
      <alignment horizontal="center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 wrapText="1"/>
    </xf>
    <xf numFmtId="0" fontId="9" fillId="0" borderId="40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15" fillId="6" borderId="0" xfId="0" applyFont="1" applyFill="1" applyBorder="1" applyAlignment="1">
      <alignment horizontal="right"/>
    </xf>
    <xf numFmtId="0" fontId="16" fillId="6" borderId="0" xfId="3" applyFont="1" applyFill="1"/>
  </cellXfs>
  <cellStyles count="4">
    <cellStyle name="Hypertextový odkaz" xfId="3" builtinId="8"/>
    <cellStyle name="Nadpis 1" xfId="1" builtinId="16"/>
    <cellStyle name="Nadpis 2" xfId="2" builtinId="17"/>
    <cellStyle name="Normální" xfId="0" builtinId="0"/>
  </cellStyles>
  <dxfs count="3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l.lumiart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92D050"/>
  </sheetPr>
  <dimension ref="B2:K19"/>
  <sheetViews>
    <sheetView showGridLines="0" showRowColHeaders="0" tabSelected="1" workbookViewId="0">
      <selection activeCell="C8" sqref="C8"/>
    </sheetView>
  </sheetViews>
  <sheetFormatPr defaultRowHeight="15" x14ac:dyDescent="0.25"/>
  <cols>
    <col min="2" max="2" width="25.5703125" bestFit="1" customWidth="1"/>
    <col min="3" max="3" width="24.140625" bestFit="1" customWidth="1"/>
    <col min="4" max="4" width="4.28515625" customWidth="1"/>
    <col min="5" max="5" width="8.140625" customWidth="1"/>
    <col min="6" max="6" width="8" customWidth="1"/>
    <col min="7" max="7" width="21.140625" bestFit="1" customWidth="1"/>
    <col min="9" max="9" width="39.42578125" bestFit="1" customWidth="1"/>
    <col min="10" max="10" width="32.140625" customWidth="1"/>
    <col min="11" max="11" width="28.5703125" customWidth="1"/>
    <col min="12" max="12" width="23.7109375" bestFit="1" customWidth="1"/>
  </cols>
  <sheetData>
    <row r="2" spans="2:11" ht="20.25" thickBot="1" x14ac:dyDescent="0.35">
      <c r="B2" s="82" t="s">
        <v>166</v>
      </c>
      <c r="C2" s="82"/>
      <c r="D2" s="83" t="s">
        <v>167</v>
      </c>
      <c r="E2" s="83"/>
      <c r="F2" s="83"/>
      <c r="G2" s="83"/>
    </row>
    <row r="3" spans="2:11" ht="15.75" thickTop="1" x14ac:dyDescent="0.25"/>
    <row r="4" spans="2:11" ht="15.75" thickBot="1" x14ac:dyDescent="0.3">
      <c r="B4" t="s">
        <v>49</v>
      </c>
      <c r="I4" t="s">
        <v>50</v>
      </c>
    </row>
    <row r="5" spans="2:11" ht="15.75" thickBot="1" x14ac:dyDescent="0.3">
      <c r="B5" s="28"/>
      <c r="C5" s="29"/>
      <c r="D5" s="29"/>
      <c r="E5" s="29"/>
      <c r="F5" s="34"/>
      <c r="G5" s="35" t="s">
        <v>6</v>
      </c>
      <c r="I5" s="80" t="s">
        <v>52</v>
      </c>
      <c r="J5" s="73">
        <f>Calculations!B39</f>
        <v>37.1265</v>
      </c>
      <c r="K5" s="45" t="s">
        <v>51</v>
      </c>
    </row>
    <row r="6" spans="2:11" x14ac:dyDescent="0.25">
      <c r="B6" s="74" t="s">
        <v>144</v>
      </c>
      <c r="C6" s="76" t="s">
        <v>145</v>
      </c>
      <c r="D6" s="30"/>
      <c r="E6" s="30"/>
      <c r="F6" s="30"/>
      <c r="G6" s="31"/>
      <c r="I6" s="81" t="s">
        <v>98</v>
      </c>
      <c r="J6" s="72">
        <f>Calculations!B54</f>
        <v>21.975899999999999</v>
      </c>
      <c r="K6" s="31" t="s">
        <v>51</v>
      </c>
    </row>
    <row r="7" spans="2:11" ht="15.75" thickBot="1" x14ac:dyDescent="0.3">
      <c r="B7" s="74" t="s">
        <v>146</v>
      </c>
      <c r="C7" s="77">
        <v>3.5</v>
      </c>
      <c r="D7" s="30"/>
      <c r="E7" s="30"/>
      <c r="F7" s="36" t="str">
        <f>IF($C$6="NO","(ignored)","")</f>
        <v>(ignored)</v>
      </c>
      <c r="G7" s="31"/>
      <c r="I7" s="74" t="s">
        <v>137</v>
      </c>
      <c r="J7" s="71">
        <f>Calculations!B128</f>
        <v>2.6586333333333334</v>
      </c>
      <c r="K7" s="31" t="s">
        <v>138</v>
      </c>
    </row>
    <row r="8" spans="2:11" ht="15.75" thickBot="1" x14ac:dyDescent="0.3">
      <c r="B8" s="74" t="s">
        <v>53</v>
      </c>
      <c r="C8" s="77">
        <v>160</v>
      </c>
      <c r="D8" s="30" t="s">
        <v>8</v>
      </c>
      <c r="E8" s="79" t="s">
        <v>66</v>
      </c>
      <c r="F8" s="36" t="str">
        <f>IF($C$6="YES","(ignored)","")</f>
        <v/>
      </c>
      <c r="G8" s="31" t="s">
        <v>20</v>
      </c>
      <c r="I8" s="75" t="s">
        <v>139</v>
      </c>
      <c r="J8" s="70">
        <f>Calculations!B129</f>
        <v>26.586333333333332</v>
      </c>
      <c r="K8" s="33" t="s">
        <v>138</v>
      </c>
    </row>
    <row r="9" spans="2:11" x14ac:dyDescent="0.25">
      <c r="B9" s="74" t="s">
        <v>7</v>
      </c>
      <c r="C9" s="77">
        <v>50000</v>
      </c>
      <c r="D9" s="30" t="s">
        <v>33</v>
      </c>
      <c r="E9" s="36"/>
      <c r="F9" s="36" t="str">
        <f>IF($C$6="YES","(ignored)","")</f>
        <v/>
      </c>
      <c r="G9" s="31" t="s">
        <v>34</v>
      </c>
    </row>
    <row r="10" spans="2:11" x14ac:dyDescent="0.25">
      <c r="B10" s="74" t="s">
        <v>5</v>
      </c>
      <c r="C10" s="77">
        <v>5</v>
      </c>
      <c r="D10" s="30" t="s">
        <v>8</v>
      </c>
      <c r="E10" s="30"/>
      <c r="F10" s="36" t="str">
        <f>IF(OR($E$8="GS",Using_brake_monitor="YES"),"(ignored)","")</f>
        <v/>
      </c>
      <c r="G10" s="46" t="s">
        <v>62</v>
      </c>
    </row>
    <row r="11" spans="2:11" x14ac:dyDescent="0.25">
      <c r="B11" s="74" t="s">
        <v>9</v>
      </c>
      <c r="C11" s="77">
        <v>13</v>
      </c>
      <c r="D11" s="30" t="s">
        <v>10</v>
      </c>
      <c r="E11" s="30"/>
      <c r="F11" s="36" t="str">
        <f>IF(OR($E$8="GS",Using_brake_monitor="YES"),"(ignored)","")</f>
        <v/>
      </c>
      <c r="G11" s="31" t="s">
        <v>45</v>
      </c>
    </row>
    <row r="12" spans="2:11" x14ac:dyDescent="0.25">
      <c r="B12" s="74" t="s">
        <v>11</v>
      </c>
      <c r="C12" s="77">
        <v>3000</v>
      </c>
      <c r="D12" s="30" t="s">
        <v>12</v>
      </c>
      <c r="E12" s="30"/>
      <c r="F12" s="36" t="str">
        <f>IF(OR($E$8="GS",Using_brake_monitor="YES"),"(ignored)","")</f>
        <v/>
      </c>
      <c r="G12" s="31" t="s">
        <v>61</v>
      </c>
    </row>
    <row r="13" spans="2:11" x14ac:dyDescent="0.25">
      <c r="B13" s="74" t="s">
        <v>73</v>
      </c>
      <c r="C13" s="77" t="s">
        <v>74</v>
      </c>
      <c r="D13" s="30"/>
      <c r="E13" s="30"/>
      <c r="F13" s="36" t="str">
        <f>IF($C$6="YES","(ignored)","")</f>
        <v/>
      </c>
      <c r="G13" s="31"/>
    </row>
    <row r="14" spans="2:11" x14ac:dyDescent="0.25">
      <c r="B14" s="74" t="s">
        <v>78</v>
      </c>
      <c r="C14" s="77" t="s">
        <v>79</v>
      </c>
      <c r="D14" s="30"/>
      <c r="E14" s="30"/>
      <c r="F14" s="36" t="str">
        <f>IF($C$6="YES","(ignored)","")</f>
        <v/>
      </c>
      <c r="G14" s="31"/>
    </row>
    <row r="15" spans="2:11" x14ac:dyDescent="0.25">
      <c r="B15" s="74" t="s">
        <v>123</v>
      </c>
      <c r="C15" s="77" t="s">
        <v>121</v>
      </c>
      <c r="D15" s="30"/>
      <c r="E15" s="30"/>
      <c r="F15" s="30"/>
      <c r="G15" s="31"/>
    </row>
    <row r="16" spans="2:11" ht="15.75" thickBot="1" x14ac:dyDescent="0.3">
      <c r="B16" s="75" t="s">
        <v>163</v>
      </c>
      <c r="C16" s="78">
        <v>3</v>
      </c>
      <c r="D16" s="32" t="s">
        <v>164</v>
      </c>
      <c r="E16" s="32"/>
      <c r="F16" s="69" t="str">
        <f>IF($C$6="YES","(ignored)","")</f>
        <v/>
      </c>
      <c r="G16" s="33"/>
    </row>
    <row r="19" spans="2:3" x14ac:dyDescent="0.25">
      <c r="B19" s="165" t="s">
        <v>169</v>
      </c>
      <c r="C19" s="166" t="s">
        <v>168</v>
      </c>
    </row>
  </sheetData>
  <sheetProtection sheet="1" objects="1" scenarios="1" selectLockedCells="1"/>
  <dataConsolidate/>
  <mergeCells count="2">
    <mergeCell ref="B2:C2"/>
    <mergeCell ref="D2:G2"/>
  </mergeCells>
  <conditionalFormatting sqref="C10:C12">
    <cfRule type="expression" dxfId="2" priority="3">
      <formula>$E$8="GS"</formula>
    </cfRule>
  </conditionalFormatting>
  <conditionalFormatting sqref="C7">
    <cfRule type="expression" dxfId="1" priority="2">
      <formula>$C$6="NO"</formula>
    </cfRule>
  </conditionalFormatting>
  <conditionalFormatting sqref="C8:C14 C16 E8">
    <cfRule type="expression" dxfId="0" priority="1">
      <formula>$C$6="YES"</formula>
    </cfRule>
  </conditionalFormatting>
  <dataValidations count="6">
    <dataValidation type="decimal" allowBlank="1" showInputMessage="1" showErrorMessage="1" sqref="C8">
      <formula1>80</formula1>
      <formula2>179</formula2>
    </dataValidation>
    <dataValidation type="list" allowBlank="1" showInputMessage="1" showErrorMessage="1" sqref="E8">
      <formula1>"IAS,GS"</formula1>
    </dataValidation>
    <dataValidation type="list" allowBlank="1" showInputMessage="1" showErrorMessage="1" sqref="C14">
      <formula1>"NO REVERSE,TWO ENG DETENT REV"</formula1>
    </dataValidation>
    <dataValidation type="list" allowBlank="1" showInputMessage="1" showErrorMessage="1" sqref="C6">
      <formula1>"YES,NO"</formula1>
    </dataValidation>
    <dataValidation type="list" allowBlank="1" showInputMessage="1" showErrorMessage="1" sqref="C13">
      <formula1>"RTO MAX MAN,LDG MAX MAN,LDG MAX AUTO,LDG AUTOBRAKE 3,LDG AUTOBRAKE 2,LDG AUTOBRAKE 1"</formula1>
    </dataValidation>
    <dataValidation type="list" allowBlank="1" showInputMessage="1" showErrorMessage="1" sqref="C15">
      <formula1>"Category C Steel Brakes,Category N Carbon Brakes"</formula1>
    </dataValidation>
  </dataValidations>
  <hyperlinks>
    <hyperlink ref="C19" r:id="rId1"/>
  </hyperlinks>
  <pageMargins left="0.7" right="0.7" top="0.78740157499999996" bottom="0.78740157499999996" header="0.3" footer="0.3"/>
  <pageSetup paperSize="9" orientation="portrait" horizontalDpi="30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F129"/>
  <sheetViews>
    <sheetView workbookViewId="0">
      <selection activeCell="B13" sqref="B13"/>
    </sheetView>
  </sheetViews>
  <sheetFormatPr defaultRowHeight="15" x14ac:dyDescent="0.25"/>
  <cols>
    <col min="1" max="1" width="34.140625" customWidth="1"/>
    <col min="2" max="2" width="10.85546875" bestFit="1" customWidth="1"/>
    <col min="5" max="5" width="7.28515625" customWidth="1"/>
    <col min="6" max="6" width="5.7109375" customWidth="1"/>
    <col min="7" max="7" width="4.42578125" customWidth="1"/>
    <col min="8" max="13" width="6.7109375" customWidth="1"/>
    <col min="15" max="15" width="5.85546875" customWidth="1"/>
    <col min="16" max="16" width="5.42578125" customWidth="1"/>
    <col min="17" max="17" width="6.5703125" customWidth="1"/>
    <col min="23" max="23" width="7.140625" customWidth="1"/>
    <col min="24" max="27" width="6.140625" customWidth="1"/>
  </cols>
  <sheetData>
    <row r="1" spans="1:32" x14ac:dyDescent="0.25">
      <c r="A1" t="s">
        <v>63</v>
      </c>
      <c r="E1" t="s">
        <v>21</v>
      </c>
      <c r="P1" t="s">
        <v>54</v>
      </c>
      <c r="V1" t="s">
        <v>22</v>
      </c>
      <c r="AC1" t="s">
        <v>32</v>
      </c>
    </row>
    <row r="2" spans="1:32" ht="15" customHeight="1" x14ac:dyDescent="0.25">
      <c r="A2" t="s">
        <v>64</v>
      </c>
      <c r="B2" t="b">
        <f>IF('737-800'!E8="GS",TRUE,FALSE)</f>
        <v>0</v>
      </c>
      <c r="F2" t="s">
        <v>18</v>
      </c>
      <c r="H2">
        <v>-2</v>
      </c>
      <c r="I2">
        <v>-1</v>
      </c>
      <c r="J2">
        <v>0</v>
      </c>
      <c r="K2">
        <v>1</v>
      </c>
      <c r="L2">
        <v>2</v>
      </c>
      <c r="M2">
        <v>3</v>
      </c>
    </row>
    <row r="3" spans="1:32" x14ac:dyDescent="0.25">
      <c r="A3" t="s">
        <v>65</v>
      </c>
      <c r="B3">
        <f>IF(B2,0,Headwind_component)</f>
        <v>5</v>
      </c>
      <c r="F3" s="22" t="s">
        <v>2</v>
      </c>
      <c r="G3" s="23" t="s">
        <v>3</v>
      </c>
      <c r="H3" s="24" t="s">
        <v>4</v>
      </c>
      <c r="I3" s="24"/>
      <c r="J3" s="24"/>
      <c r="K3" s="24"/>
      <c r="L3" s="24"/>
      <c r="M3" s="23"/>
      <c r="P3" s="22" t="s">
        <v>2</v>
      </c>
      <c r="Q3" s="23" t="s">
        <v>3</v>
      </c>
      <c r="R3" s="24" t="s">
        <v>4</v>
      </c>
      <c r="S3" s="24"/>
      <c r="T3" s="24"/>
      <c r="W3" s="22" t="s">
        <v>2</v>
      </c>
      <c r="X3" s="23" t="s">
        <v>3</v>
      </c>
      <c r="Y3" s="24" t="s">
        <v>23</v>
      </c>
      <c r="Z3" s="26" t="s">
        <v>24</v>
      </c>
      <c r="AA3" s="26" t="s">
        <v>31</v>
      </c>
      <c r="AD3" s="23" t="s">
        <v>3</v>
      </c>
    </row>
    <row r="4" spans="1:32" x14ac:dyDescent="0.25">
      <c r="A4" t="s">
        <v>11</v>
      </c>
      <c r="B4">
        <f>IF(B2,0,Pressure_altitude)</f>
        <v>3000</v>
      </c>
      <c r="E4" t="s">
        <v>19</v>
      </c>
      <c r="F4" s="20"/>
      <c r="G4" s="21"/>
      <c r="H4" s="25">
        <v>0</v>
      </c>
      <c r="I4" s="25">
        <v>5</v>
      </c>
      <c r="J4" s="25">
        <v>10</v>
      </c>
      <c r="K4" s="25">
        <v>0</v>
      </c>
      <c r="L4" s="25">
        <v>5</v>
      </c>
      <c r="M4" s="21">
        <v>10</v>
      </c>
      <c r="O4" t="s">
        <v>19</v>
      </c>
      <c r="P4" s="20"/>
      <c r="Q4" s="21"/>
      <c r="R4" s="25">
        <v>0</v>
      </c>
      <c r="S4" s="25">
        <v>5</v>
      </c>
      <c r="T4" s="25">
        <v>10</v>
      </c>
      <c r="W4" s="20"/>
      <c r="X4" s="21"/>
      <c r="AC4" t="s">
        <v>38</v>
      </c>
      <c r="AD4" s="21"/>
      <c r="AF4" s="16" t="s">
        <v>31</v>
      </c>
    </row>
    <row r="5" spans="1:32" x14ac:dyDescent="0.25">
      <c r="A5" t="s">
        <v>9</v>
      </c>
      <c r="B5">
        <f>IF(B2,15,OAT)</f>
        <v>13</v>
      </c>
      <c r="E5">
        <v>1</v>
      </c>
      <c r="F5" s="18">
        <v>80</v>
      </c>
      <c r="G5" s="19">
        <v>0</v>
      </c>
      <c r="H5">
        <f>INDEX('Data - brake energy'!$C$6:$T$40,$E5,$B$13+H$2)</f>
        <v>40.4</v>
      </c>
      <c r="I5">
        <f>INDEX('Data - brake energy'!$C$6:$T$40,$E5,$B$13+I$2)</f>
        <v>45.9</v>
      </c>
      <c r="J5">
        <f>INDEX('Data - brake energy'!$C$6:$T$40,$E5,$B$13+J$2)</f>
        <v>53</v>
      </c>
      <c r="K5">
        <f>INDEX('Data - brake energy'!$C$6:$T$40,$E5,$B$13+K$2)</f>
        <v>50.8</v>
      </c>
      <c r="L5">
        <f>INDEX('Data - brake energy'!$C$6:$T$40,$E5,$B$13+L$2)</f>
        <v>57.9</v>
      </c>
      <c r="M5">
        <f>INDEX('Data - brake energy'!$C$6:$T$40,$E5,$B$13+M$2)</f>
        <v>67.3</v>
      </c>
      <c r="O5">
        <v>1</v>
      </c>
      <c r="P5" s="18">
        <v>80</v>
      </c>
      <c r="Q5" s="19">
        <v>0</v>
      </c>
      <c r="R5">
        <f t="shared" ref="R5:R39" si="0">(H5*$B$18)+((1-$B$18)*K5)</f>
        <v>49.499999999999993</v>
      </c>
      <c r="S5">
        <f t="shared" ref="S5:S39" si="1">(I5*$B$18)+((1-$B$18)*L5)</f>
        <v>56.4</v>
      </c>
      <c r="T5">
        <f t="shared" ref="T5:T39" si="2">(J5*$B$18)+((1-$B$18)*M5)</f>
        <v>65.512499999999989</v>
      </c>
      <c r="V5">
        <v>1</v>
      </c>
      <c r="W5" s="18">
        <v>80</v>
      </c>
      <c r="X5" s="19">
        <v>0</v>
      </c>
      <c r="Y5">
        <f t="shared" ref="Y5:Y39" si="3">INDEX($R$5:$T$39,$E5,$B$21)</f>
        <v>49.499999999999993</v>
      </c>
      <c r="Z5">
        <f t="shared" ref="Z5:Z39" si="4">INDEX($R$5:$T$39,$E5,$B$21+1)</f>
        <v>56.4</v>
      </c>
      <c r="AA5" s="16">
        <f t="shared" ref="AA5:AA39" si="5">(1-$B$24)*Y5+$B$24*Z5</f>
        <v>53.639999999999993</v>
      </c>
      <c r="AC5">
        <v>-6</v>
      </c>
      <c r="AD5" s="19">
        <v>0</v>
      </c>
      <c r="AE5">
        <f t="shared" ref="AE5:AE18" si="6">INDEX($AA$5:$AA$39,$B$28+AC5)</f>
        <v>41.762500000000003</v>
      </c>
      <c r="AF5">
        <f t="shared" ref="AF5:AF11" si="7">AE5*$B$30+AE12*(1-$B$30)</f>
        <v>35.607499999999995</v>
      </c>
    </row>
    <row r="6" spans="1:32" x14ac:dyDescent="0.25">
      <c r="E6">
        <v>2</v>
      </c>
      <c r="F6" s="18">
        <v>80</v>
      </c>
      <c r="G6" s="19">
        <v>10</v>
      </c>
      <c r="H6">
        <f>INDEX('Data - brake energy'!$C$6:$T$40,$E6,$B$13+H$2)</f>
        <v>41.8</v>
      </c>
      <c r="I6">
        <f>INDEX('Data - brake energy'!$C$6:$T$40,$E6,$B$13+I$2)</f>
        <v>47.5</v>
      </c>
      <c r="J6">
        <f>INDEX('Data - brake energy'!$C$6:$T$40,$E6,$B$13+J$2)</f>
        <v>54.8</v>
      </c>
      <c r="K6">
        <f>INDEX('Data - brake energy'!$C$6:$T$40,$E6,$B$13+K$2)</f>
        <v>52.5</v>
      </c>
      <c r="L6">
        <f>INDEX('Data - brake energy'!$C$6:$T$40,$E6,$B$13+L$2)</f>
        <v>59.9</v>
      </c>
      <c r="M6">
        <f>INDEX('Data - brake energy'!$C$6:$T$40,$E6,$B$13+M$2)</f>
        <v>69.5</v>
      </c>
      <c r="O6">
        <v>2</v>
      </c>
      <c r="P6" s="18">
        <v>80</v>
      </c>
      <c r="Q6" s="19">
        <v>10</v>
      </c>
      <c r="R6">
        <f t="shared" si="0"/>
        <v>51.162500000000001</v>
      </c>
      <c r="S6">
        <f t="shared" si="1"/>
        <v>58.35</v>
      </c>
      <c r="T6">
        <f t="shared" si="2"/>
        <v>67.662499999999994</v>
      </c>
      <c r="V6">
        <v>2</v>
      </c>
      <c r="W6" s="18">
        <v>80</v>
      </c>
      <c r="X6" s="19">
        <v>10</v>
      </c>
      <c r="Y6">
        <f t="shared" si="3"/>
        <v>51.162500000000001</v>
      </c>
      <c r="Z6">
        <f t="shared" si="4"/>
        <v>58.35</v>
      </c>
      <c r="AA6" s="16">
        <f t="shared" si="5"/>
        <v>55.475000000000001</v>
      </c>
      <c r="AC6">
        <v>-5</v>
      </c>
      <c r="AD6" s="19">
        <v>10</v>
      </c>
      <c r="AE6">
        <f t="shared" si="6"/>
        <v>43.145000000000003</v>
      </c>
      <c r="AF6">
        <f t="shared" si="7"/>
        <v>36.795000000000002</v>
      </c>
    </row>
    <row r="7" spans="1:32" x14ac:dyDescent="0.25">
      <c r="A7" t="s">
        <v>13</v>
      </c>
      <c r="E7">
        <v>3</v>
      </c>
      <c r="F7" s="18">
        <v>80</v>
      </c>
      <c r="G7" s="19">
        <v>15</v>
      </c>
      <c r="H7">
        <f>INDEX('Data - brake energy'!$C$6:$T$40,$E7,$B$13+H$2)</f>
        <v>42.4</v>
      </c>
      <c r="I7">
        <f>INDEX('Data - brake energy'!$C$6:$T$40,$E7,$B$13+I$2)</f>
        <v>48.2</v>
      </c>
      <c r="J7">
        <f>INDEX('Data - brake energy'!$C$6:$T$40,$E7,$B$13+J$2)</f>
        <v>55.6</v>
      </c>
      <c r="K7">
        <f>INDEX('Data - brake energy'!$C$6:$T$40,$E7,$B$13+K$2)</f>
        <v>53.3</v>
      </c>
      <c r="L7">
        <f>INDEX('Data - brake energy'!$C$6:$T$40,$E7,$B$13+L$2)</f>
        <v>60.7</v>
      </c>
      <c r="M7">
        <f>INDEX('Data - brake energy'!$C$6:$T$40,$E7,$B$13+M$2)</f>
        <v>70.5</v>
      </c>
      <c r="O7">
        <v>3</v>
      </c>
      <c r="P7" s="18">
        <v>80</v>
      </c>
      <c r="Q7" s="19">
        <v>15</v>
      </c>
      <c r="R7">
        <f t="shared" si="0"/>
        <v>51.937499999999993</v>
      </c>
      <c r="S7">
        <f t="shared" si="1"/>
        <v>59.137500000000003</v>
      </c>
      <c r="T7">
        <f t="shared" si="2"/>
        <v>68.637500000000003</v>
      </c>
      <c r="V7">
        <v>3</v>
      </c>
      <c r="W7" s="18">
        <v>80</v>
      </c>
      <c r="X7" s="19">
        <v>15</v>
      </c>
      <c r="Y7">
        <f t="shared" si="3"/>
        <v>51.937499999999993</v>
      </c>
      <c r="Z7">
        <f t="shared" si="4"/>
        <v>59.137500000000003</v>
      </c>
      <c r="AA7" s="16">
        <f t="shared" si="5"/>
        <v>56.2575</v>
      </c>
      <c r="AC7">
        <v>-4</v>
      </c>
      <c r="AD7" s="19">
        <v>15</v>
      </c>
      <c r="AE7">
        <f t="shared" si="6"/>
        <v>43.732500000000002</v>
      </c>
      <c r="AF7">
        <f t="shared" si="7"/>
        <v>37.347500000000004</v>
      </c>
    </row>
    <row r="8" spans="1:32" x14ac:dyDescent="0.25">
      <c r="A8" t="s">
        <v>14</v>
      </c>
      <c r="B8" t="b">
        <f>IF(Headwind_component &gt;= 0, TRUE, FALSE)</f>
        <v>1</v>
      </c>
      <c r="D8" t="s">
        <v>55</v>
      </c>
      <c r="E8">
        <v>4</v>
      </c>
      <c r="F8" s="18">
        <v>80</v>
      </c>
      <c r="G8" s="19">
        <v>20</v>
      </c>
      <c r="H8">
        <f>INDEX('Data - brake energy'!$C$6:$T$40,$E8,$B$13+H$2)</f>
        <v>42.9</v>
      </c>
      <c r="I8">
        <f>INDEX('Data - brake energy'!$C$6:$T$40,$E8,$B$13+I$2)</f>
        <v>48.8</v>
      </c>
      <c r="J8">
        <f>INDEX('Data - brake energy'!$C$6:$T$40,$E8,$B$13+J$2)</f>
        <v>56.3</v>
      </c>
      <c r="K8">
        <f>INDEX('Data - brake energy'!$C$6:$T$40,$E8,$B$13+K$2)</f>
        <v>54</v>
      </c>
      <c r="L8">
        <f>INDEX('Data - brake energy'!$C$6:$T$40,$E8,$B$13+L$2)</f>
        <v>61.5</v>
      </c>
      <c r="M8">
        <f>INDEX('Data - brake energy'!$C$6:$T$40,$E8,$B$13+M$2)</f>
        <v>71.400000000000006</v>
      </c>
      <c r="O8">
        <v>4</v>
      </c>
      <c r="P8" s="18">
        <v>80</v>
      </c>
      <c r="Q8" s="19">
        <v>20</v>
      </c>
      <c r="R8">
        <f t="shared" si="0"/>
        <v>52.612499999999997</v>
      </c>
      <c r="S8">
        <f t="shared" si="1"/>
        <v>59.912500000000001</v>
      </c>
      <c r="T8">
        <f t="shared" si="2"/>
        <v>69.512500000000003</v>
      </c>
      <c r="V8">
        <v>4</v>
      </c>
      <c r="W8" s="18">
        <v>80</v>
      </c>
      <c r="X8" s="19">
        <v>20</v>
      </c>
      <c r="Y8">
        <f t="shared" si="3"/>
        <v>52.612499999999997</v>
      </c>
      <c r="Z8">
        <f t="shared" si="4"/>
        <v>59.912500000000001</v>
      </c>
      <c r="AA8" s="16">
        <f t="shared" si="5"/>
        <v>56.9925</v>
      </c>
      <c r="AC8">
        <v>-3</v>
      </c>
      <c r="AD8" s="19">
        <v>20</v>
      </c>
      <c r="AE8">
        <f t="shared" si="6"/>
        <v>44.332499999999996</v>
      </c>
      <c r="AF8">
        <f t="shared" si="7"/>
        <v>37.837500000000006</v>
      </c>
    </row>
    <row r="9" spans="1:32" x14ac:dyDescent="0.25">
      <c r="A9" t="s">
        <v>15</v>
      </c>
      <c r="B9">
        <f>-(B3 / 2)</f>
        <v>-2.5</v>
      </c>
      <c r="D9">
        <v>80</v>
      </c>
      <c r="E9">
        <v>5</v>
      </c>
      <c r="F9" s="18">
        <v>80</v>
      </c>
      <c r="G9" s="19">
        <v>30</v>
      </c>
      <c r="H9">
        <f>INDEX('Data - brake energy'!$C$6:$T$40,$E9,$B$13+H$2)</f>
        <v>44</v>
      </c>
      <c r="I9">
        <f>INDEX('Data - brake energy'!$C$6:$T$40,$E9,$B$13+I$2)</f>
        <v>50</v>
      </c>
      <c r="J9">
        <f>INDEX('Data - brake energy'!$C$6:$T$40,$E9,$B$13+J$2)</f>
        <v>57.7</v>
      </c>
      <c r="K9">
        <f>INDEX('Data - brake energy'!$C$6:$T$40,$E9,$B$13+K$2)</f>
        <v>55.3</v>
      </c>
      <c r="L9">
        <f>INDEX('Data - brake energy'!$C$6:$T$40,$E9,$B$13+L$2)</f>
        <v>63.1</v>
      </c>
      <c r="M9">
        <f>INDEX('Data - brake energy'!$C$6:$T$40,$E9,$B$13+M$2)</f>
        <v>73.2</v>
      </c>
      <c r="O9">
        <v>5</v>
      </c>
      <c r="P9" s="18">
        <v>80</v>
      </c>
      <c r="Q9" s="19">
        <v>30</v>
      </c>
      <c r="R9">
        <f t="shared" si="0"/>
        <v>53.887499999999996</v>
      </c>
      <c r="S9">
        <f t="shared" si="1"/>
        <v>61.462499999999999</v>
      </c>
      <c r="T9">
        <f t="shared" si="2"/>
        <v>71.262500000000003</v>
      </c>
      <c r="V9">
        <v>5</v>
      </c>
      <c r="W9" s="18">
        <v>80</v>
      </c>
      <c r="X9" s="19">
        <v>30</v>
      </c>
      <c r="Y9">
        <f t="shared" si="3"/>
        <v>53.887499999999996</v>
      </c>
      <c r="Z9">
        <f t="shared" si="4"/>
        <v>61.462499999999999</v>
      </c>
      <c r="AA9" s="16">
        <f t="shared" si="5"/>
        <v>58.432499999999997</v>
      </c>
      <c r="AC9">
        <v>-2</v>
      </c>
      <c r="AD9" s="19">
        <v>30</v>
      </c>
      <c r="AE9">
        <f t="shared" si="6"/>
        <v>45.467500000000001</v>
      </c>
      <c r="AF9">
        <f t="shared" si="7"/>
        <v>38.83</v>
      </c>
    </row>
    <row r="10" spans="1:32" x14ac:dyDescent="0.25">
      <c r="A10" t="s">
        <v>16</v>
      </c>
      <c r="B10">
        <f>(-B3)*1.5</f>
        <v>-7.5</v>
      </c>
      <c r="D10">
        <v>100</v>
      </c>
      <c r="E10">
        <v>6</v>
      </c>
      <c r="F10" s="18">
        <v>80</v>
      </c>
      <c r="G10" s="19">
        <v>40</v>
      </c>
      <c r="H10">
        <f>INDEX('Data - brake energy'!$C$6:$T$40,$E10,$B$13+H$2)</f>
        <v>44.7</v>
      </c>
      <c r="I10">
        <f>INDEX('Data - brake energy'!$C$6:$T$40,$E10,$B$13+I$2)</f>
        <v>50.9</v>
      </c>
      <c r="J10">
        <f>INDEX('Data - brake energy'!$C$6:$T$40,$E10,$B$13+J$2)</f>
        <v>58.8</v>
      </c>
      <c r="K10">
        <f>INDEX('Data - brake energy'!$C$6:$T$40,$E10,$B$13+K$2)</f>
        <v>56.3</v>
      </c>
      <c r="L10">
        <f>INDEX('Data - brake energy'!$C$6:$T$40,$E10,$B$13+L$2)</f>
        <v>64.3</v>
      </c>
      <c r="M10">
        <f>INDEX('Data - brake energy'!$C$6:$T$40,$E10,$B$13+M$2)</f>
        <v>74.8</v>
      </c>
      <c r="O10">
        <v>6</v>
      </c>
      <c r="P10" s="18">
        <v>80</v>
      </c>
      <c r="Q10" s="19">
        <v>40</v>
      </c>
      <c r="R10">
        <f t="shared" si="0"/>
        <v>54.849999999999994</v>
      </c>
      <c r="S10">
        <f t="shared" si="1"/>
        <v>62.624999999999993</v>
      </c>
      <c r="T10">
        <f t="shared" si="2"/>
        <v>72.8</v>
      </c>
      <c r="V10">
        <v>6</v>
      </c>
      <c r="W10" s="18">
        <v>80</v>
      </c>
      <c r="X10" s="19">
        <v>40</v>
      </c>
      <c r="Y10">
        <f t="shared" si="3"/>
        <v>54.849999999999994</v>
      </c>
      <c r="Z10">
        <f t="shared" si="4"/>
        <v>62.624999999999993</v>
      </c>
      <c r="AA10" s="16">
        <f t="shared" si="5"/>
        <v>59.514999999999993</v>
      </c>
      <c r="AC10">
        <v>-1</v>
      </c>
      <c r="AD10" s="19">
        <v>40</v>
      </c>
      <c r="AE10">
        <f t="shared" si="6"/>
        <v>46.202499999999993</v>
      </c>
      <c r="AF10">
        <f t="shared" si="7"/>
        <v>39.405000000000001</v>
      </c>
    </row>
    <row r="11" spans="1:32" x14ac:dyDescent="0.25">
      <c r="A11" t="s">
        <v>17</v>
      </c>
      <c r="B11" s="16">
        <f>IF(B8, Brakes_ON_speed + B9, Brakes_ON_speed + B10)</f>
        <v>157.5</v>
      </c>
      <c r="D11">
        <v>120</v>
      </c>
      <c r="E11">
        <v>7</v>
      </c>
      <c r="F11" s="18">
        <v>80</v>
      </c>
      <c r="G11" s="19">
        <v>50</v>
      </c>
      <c r="H11">
        <f>INDEX('Data - brake energy'!$C$6:$T$40,$E11,$B$13+H$2)</f>
        <v>45.2</v>
      </c>
      <c r="I11">
        <f>INDEX('Data - brake energy'!$C$6:$T$40,$E11,$B$13+I$2)</f>
        <v>51.5</v>
      </c>
      <c r="J11">
        <f>INDEX('Data - brake energy'!$C$6:$T$40,$E11,$B$13+J$2)</f>
        <v>59.7</v>
      </c>
      <c r="K11">
        <f>INDEX('Data - brake energy'!$C$6:$T$40,$E11,$B$13+K$2)</f>
        <v>57.1</v>
      </c>
      <c r="L11">
        <f>INDEX('Data - brake energy'!$C$6:$T$40,$E11,$B$13+L$2)</f>
        <v>65.400000000000006</v>
      </c>
      <c r="M11">
        <f>INDEX('Data - brake energy'!$C$6:$T$40,$E11,$B$13+M$2)</f>
        <v>76.3</v>
      </c>
      <c r="O11">
        <v>7</v>
      </c>
      <c r="P11" s="18">
        <v>80</v>
      </c>
      <c r="Q11" s="19">
        <v>50</v>
      </c>
      <c r="R11">
        <f t="shared" si="0"/>
        <v>55.612499999999997</v>
      </c>
      <c r="S11">
        <f t="shared" si="1"/>
        <v>63.662500000000009</v>
      </c>
      <c r="T11">
        <f t="shared" si="2"/>
        <v>74.225000000000009</v>
      </c>
      <c r="V11">
        <v>7</v>
      </c>
      <c r="W11" s="18">
        <v>80</v>
      </c>
      <c r="X11" s="19">
        <v>50</v>
      </c>
      <c r="Y11">
        <f t="shared" si="3"/>
        <v>55.612499999999997</v>
      </c>
      <c r="Z11">
        <f t="shared" si="4"/>
        <v>63.662500000000009</v>
      </c>
      <c r="AA11" s="16">
        <f t="shared" si="5"/>
        <v>60.44250000000001</v>
      </c>
      <c r="AC11">
        <v>0</v>
      </c>
      <c r="AD11" s="19">
        <v>50</v>
      </c>
      <c r="AE11">
        <f t="shared" si="6"/>
        <v>46.69</v>
      </c>
      <c r="AF11">
        <f t="shared" si="7"/>
        <v>39.704999999999998</v>
      </c>
    </row>
    <row r="12" spans="1:32" x14ac:dyDescent="0.25">
      <c r="D12">
        <v>140</v>
      </c>
      <c r="E12">
        <v>8</v>
      </c>
      <c r="F12" s="18">
        <v>70</v>
      </c>
      <c r="G12" s="19">
        <v>0</v>
      </c>
      <c r="H12">
        <f>INDEX('Data - brake energy'!$C$6:$T$40,$E12,$B$13+H$2)</f>
        <v>36.1</v>
      </c>
      <c r="I12">
        <f>INDEX('Data - brake energy'!$C$6:$T$40,$E12,$B$13+I$2)</f>
        <v>41</v>
      </c>
      <c r="J12">
        <f>INDEX('Data - brake energy'!$C$6:$T$40,$E12,$B$13+J$2)</f>
        <v>47.2</v>
      </c>
      <c r="K12">
        <f>INDEX('Data - brake energy'!$C$6:$T$40,$E12,$B$13+K$2)</f>
        <v>45.3</v>
      </c>
      <c r="L12">
        <f>INDEX('Data - brake energy'!$C$6:$T$40,$E12,$B$13+L$2)</f>
        <v>51.6</v>
      </c>
      <c r="M12">
        <f>INDEX('Data - brake energy'!$C$6:$T$40,$E12,$B$13+M$2)</f>
        <v>59.7</v>
      </c>
      <c r="O12">
        <v>8</v>
      </c>
      <c r="P12" s="18">
        <v>70</v>
      </c>
      <c r="Q12" s="19">
        <v>0</v>
      </c>
      <c r="R12">
        <f t="shared" si="0"/>
        <v>44.15</v>
      </c>
      <c r="S12">
        <f t="shared" si="1"/>
        <v>50.274999999999999</v>
      </c>
      <c r="T12">
        <f t="shared" si="2"/>
        <v>58.137500000000003</v>
      </c>
      <c r="V12" s="27">
        <v>8</v>
      </c>
      <c r="W12" s="18">
        <v>70</v>
      </c>
      <c r="X12" s="19">
        <v>0</v>
      </c>
      <c r="Y12">
        <f t="shared" si="3"/>
        <v>44.15</v>
      </c>
      <c r="Z12">
        <f t="shared" si="4"/>
        <v>50.274999999999999</v>
      </c>
      <c r="AA12" s="16">
        <f t="shared" si="5"/>
        <v>47.825000000000003</v>
      </c>
      <c r="AC12">
        <v>1</v>
      </c>
      <c r="AD12" s="19">
        <v>0</v>
      </c>
      <c r="AE12">
        <f t="shared" si="6"/>
        <v>35.607499999999995</v>
      </c>
    </row>
    <row r="13" spans="1:32" x14ac:dyDescent="0.25">
      <c r="A13" t="s">
        <v>26</v>
      </c>
      <c r="B13">
        <f>MATCH(B11,'Data - brake energy'!C3:T3)</f>
        <v>12</v>
      </c>
      <c r="D13">
        <v>160</v>
      </c>
      <c r="E13">
        <v>9</v>
      </c>
      <c r="F13" s="18">
        <v>70</v>
      </c>
      <c r="G13" s="19">
        <v>10</v>
      </c>
      <c r="H13">
        <f>INDEX('Data - brake energy'!$C$6:$T$40,$E13,$B$13+H$2)</f>
        <v>37.299999999999997</v>
      </c>
      <c r="I13">
        <f>INDEX('Data - brake energy'!$C$6:$T$40,$E13,$B$13+I$2)</f>
        <v>42.3</v>
      </c>
      <c r="J13">
        <f>INDEX('Data - brake energy'!$C$6:$T$40,$E13,$B$13+J$2)</f>
        <v>48.7</v>
      </c>
      <c r="K13">
        <f>INDEX('Data - brake energy'!$C$6:$T$40,$E13,$B$13+K$2)</f>
        <v>46.8</v>
      </c>
      <c r="L13">
        <f>INDEX('Data - brake energy'!$C$6:$T$40,$E13,$B$13+L$2)</f>
        <v>53.3</v>
      </c>
      <c r="M13">
        <f>INDEX('Data - brake energy'!$C$6:$T$40,$E13,$B$13+M$2)</f>
        <v>61.6</v>
      </c>
      <c r="O13">
        <v>9</v>
      </c>
      <c r="P13" s="18">
        <v>70</v>
      </c>
      <c r="Q13" s="19">
        <v>10</v>
      </c>
      <c r="R13">
        <f t="shared" si="0"/>
        <v>45.612499999999997</v>
      </c>
      <c r="S13">
        <f t="shared" si="1"/>
        <v>51.924999999999997</v>
      </c>
      <c r="T13">
        <f t="shared" si="2"/>
        <v>59.987499999999997</v>
      </c>
      <c r="V13">
        <v>9</v>
      </c>
      <c r="W13" s="18">
        <v>70</v>
      </c>
      <c r="X13" s="19">
        <v>10</v>
      </c>
      <c r="Y13">
        <f t="shared" si="3"/>
        <v>45.612499999999997</v>
      </c>
      <c r="Z13">
        <f t="shared" si="4"/>
        <v>51.924999999999997</v>
      </c>
      <c r="AA13" s="16">
        <f t="shared" si="5"/>
        <v>49.4</v>
      </c>
      <c r="AC13">
        <v>2</v>
      </c>
      <c r="AD13" s="19">
        <v>10</v>
      </c>
      <c r="AE13">
        <f t="shared" si="6"/>
        <v>36.795000000000002</v>
      </c>
    </row>
    <row r="14" spans="1:32" x14ac:dyDescent="0.25">
      <c r="A14" t="s">
        <v>25</v>
      </c>
      <c r="B14">
        <f>B4/1000</f>
        <v>3</v>
      </c>
      <c r="D14">
        <v>180</v>
      </c>
      <c r="E14">
        <v>10</v>
      </c>
      <c r="F14" s="18">
        <v>70</v>
      </c>
      <c r="G14" s="19">
        <v>15</v>
      </c>
      <c r="H14">
        <f>INDEX('Data - brake energy'!$C$6:$T$40,$E14,$B$13+H$2)</f>
        <v>37.799999999999997</v>
      </c>
      <c r="I14">
        <f>INDEX('Data - brake energy'!$C$6:$T$40,$E14,$B$13+I$2)</f>
        <v>43</v>
      </c>
      <c r="J14">
        <f>INDEX('Data - brake energy'!$C$6:$T$40,$E14,$B$13+J$2)</f>
        <v>49.4</v>
      </c>
      <c r="K14">
        <f>INDEX('Data - brake energy'!$C$6:$T$40,$E14,$B$13+K$2)</f>
        <v>47.5</v>
      </c>
      <c r="L14">
        <f>INDEX('Data - brake energy'!$C$6:$T$40,$E14,$B$13+L$2)</f>
        <v>54</v>
      </c>
      <c r="M14">
        <f>INDEX('Data - brake energy'!$C$6:$T$40,$E14,$B$13+M$2)</f>
        <v>62.5</v>
      </c>
      <c r="O14">
        <v>10</v>
      </c>
      <c r="P14" s="18">
        <v>70</v>
      </c>
      <c r="Q14" s="19">
        <v>15</v>
      </c>
      <c r="R14">
        <f t="shared" si="0"/>
        <v>46.287500000000001</v>
      </c>
      <c r="S14">
        <f t="shared" si="1"/>
        <v>52.625</v>
      </c>
      <c r="T14">
        <f t="shared" si="2"/>
        <v>60.862499999999997</v>
      </c>
      <c r="V14">
        <v>10</v>
      </c>
      <c r="W14" s="18">
        <v>70</v>
      </c>
      <c r="X14" s="19">
        <v>15</v>
      </c>
      <c r="Y14">
        <f t="shared" si="3"/>
        <v>46.287500000000001</v>
      </c>
      <c r="Z14">
        <f t="shared" si="4"/>
        <v>52.625</v>
      </c>
      <c r="AA14" s="16">
        <f t="shared" si="5"/>
        <v>50.09</v>
      </c>
      <c r="AC14">
        <v>3</v>
      </c>
      <c r="AD14" s="19">
        <v>15</v>
      </c>
      <c r="AE14">
        <f t="shared" si="6"/>
        <v>37.347500000000004</v>
      </c>
    </row>
    <row r="15" spans="1:32" x14ac:dyDescent="0.25">
      <c r="A15" t="s">
        <v>57</v>
      </c>
      <c r="B15">
        <f>MATCH(B11,D9:D14,1)</f>
        <v>4</v>
      </c>
      <c r="E15">
        <v>11</v>
      </c>
      <c r="F15" s="18">
        <v>70</v>
      </c>
      <c r="G15" s="19">
        <v>20</v>
      </c>
      <c r="H15">
        <f>INDEX('Data - brake energy'!$C$6:$T$40,$E15,$B$13+H$2)</f>
        <v>38.4</v>
      </c>
      <c r="I15">
        <f>INDEX('Data - brake energy'!$C$6:$T$40,$E15,$B$13+I$2)</f>
        <v>43.5</v>
      </c>
      <c r="J15">
        <f>INDEX('Data - brake energy'!$C$6:$T$40,$E15,$B$13+J$2)</f>
        <v>50.1</v>
      </c>
      <c r="K15">
        <f>INDEX('Data - brake energy'!$C$6:$T$40,$E15,$B$13+K$2)</f>
        <v>48.1</v>
      </c>
      <c r="L15">
        <f>INDEX('Data - brake energy'!$C$6:$T$40,$E15,$B$13+L$2)</f>
        <v>54.8</v>
      </c>
      <c r="M15">
        <f>INDEX('Data - brake energy'!$C$6:$T$40,$E15,$B$13+M$2)</f>
        <v>63.4</v>
      </c>
      <c r="O15">
        <v>11</v>
      </c>
      <c r="P15" s="18">
        <v>70</v>
      </c>
      <c r="Q15" s="19">
        <v>20</v>
      </c>
      <c r="R15">
        <f t="shared" si="0"/>
        <v>46.887499999999996</v>
      </c>
      <c r="S15">
        <f t="shared" si="1"/>
        <v>53.387499999999996</v>
      </c>
      <c r="T15">
        <f t="shared" si="2"/>
        <v>61.737500000000004</v>
      </c>
      <c r="V15">
        <v>11</v>
      </c>
      <c r="W15" s="18">
        <v>70</v>
      </c>
      <c r="X15" s="19">
        <v>20</v>
      </c>
      <c r="Y15">
        <f t="shared" si="3"/>
        <v>46.887499999999996</v>
      </c>
      <c r="Z15">
        <f t="shared" si="4"/>
        <v>53.387499999999996</v>
      </c>
      <c r="AA15" s="16">
        <f t="shared" si="5"/>
        <v>50.787499999999994</v>
      </c>
      <c r="AC15">
        <v>4</v>
      </c>
      <c r="AD15" s="19">
        <v>20</v>
      </c>
      <c r="AE15">
        <f t="shared" si="6"/>
        <v>37.837500000000006</v>
      </c>
    </row>
    <row r="16" spans="1:32" x14ac:dyDescent="0.25">
      <c r="A16" t="s">
        <v>56</v>
      </c>
      <c r="B16">
        <f>INDEX(D9:D14,B15)</f>
        <v>140</v>
      </c>
      <c r="E16">
        <v>12</v>
      </c>
      <c r="F16" s="18">
        <v>70</v>
      </c>
      <c r="G16" s="19">
        <v>30</v>
      </c>
      <c r="H16">
        <f>INDEX('Data - brake energy'!$C$6:$T$40,$E16,$B$13+H$2)</f>
        <v>39.299999999999997</v>
      </c>
      <c r="I16">
        <f>INDEX('Data - brake energy'!$C$6:$T$40,$E16,$B$13+I$2)</f>
        <v>44.6</v>
      </c>
      <c r="J16">
        <f>INDEX('Data - brake energy'!$C$6:$T$40,$E16,$B$13+J$2)</f>
        <v>51.4</v>
      </c>
      <c r="K16">
        <f>INDEX('Data - brake energy'!$C$6:$T$40,$E16,$B$13+K$2)</f>
        <v>49.3</v>
      </c>
      <c r="L16">
        <f>INDEX('Data - brake energy'!$C$6:$T$40,$E16,$B$13+L$2)</f>
        <v>56.1</v>
      </c>
      <c r="M16">
        <f>INDEX('Data - brake energy'!$C$6:$T$40,$E16,$B$13+M$2)</f>
        <v>64.900000000000006</v>
      </c>
      <c r="O16">
        <v>12</v>
      </c>
      <c r="P16" s="18">
        <v>70</v>
      </c>
      <c r="Q16" s="19">
        <v>30</v>
      </c>
      <c r="R16">
        <f t="shared" si="0"/>
        <v>48.05</v>
      </c>
      <c r="S16">
        <f t="shared" si="1"/>
        <v>54.662500000000001</v>
      </c>
      <c r="T16">
        <f t="shared" si="2"/>
        <v>63.212500000000006</v>
      </c>
      <c r="V16">
        <v>12</v>
      </c>
      <c r="W16" s="18">
        <v>70</v>
      </c>
      <c r="X16" s="19">
        <v>30</v>
      </c>
      <c r="Y16">
        <f t="shared" si="3"/>
        <v>48.05</v>
      </c>
      <c r="Z16">
        <f t="shared" si="4"/>
        <v>54.662500000000001</v>
      </c>
      <c r="AA16" s="16">
        <f t="shared" si="5"/>
        <v>52.017499999999998</v>
      </c>
      <c r="AC16">
        <v>5</v>
      </c>
      <c r="AD16" s="19">
        <v>30</v>
      </c>
      <c r="AE16">
        <f t="shared" si="6"/>
        <v>38.83</v>
      </c>
    </row>
    <row r="17" spans="1:31" x14ac:dyDescent="0.25">
      <c r="A17" t="s">
        <v>58</v>
      </c>
      <c r="B17">
        <f>INDEX(D9:D14,B15+1)</f>
        <v>160</v>
      </c>
      <c r="E17">
        <v>13</v>
      </c>
      <c r="F17" s="18">
        <v>70</v>
      </c>
      <c r="G17" s="19">
        <v>40</v>
      </c>
      <c r="H17">
        <f>INDEX('Data - brake energy'!$C$6:$T$40,$E17,$B$13+H$2)</f>
        <v>39.9</v>
      </c>
      <c r="I17">
        <f>INDEX('Data - brake energy'!$C$6:$T$40,$E17,$B$13+I$2)</f>
        <v>45.3</v>
      </c>
      <c r="J17">
        <f>INDEX('Data - brake energy'!$C$6:$T$40,$E17,$B$13+J$2)</f>
        <v>52.2</v>
      </c>
      <c r="K17">
        <f>INDEX('Data - brake energy'!$C$6:$T$40,$E17,$B$13+K$2)</f>
        <v>50.1</v>
      </c>
      <c r="L17">
        <f>INDEX('Data - brake energy'!$C$6:$T$40,$E17,$B$13+L$2)</f>
        <v>57.1</v>
      </c>
      <c r="M17">
        <f>INDEX('Data - brake energy'!$C$6:$T$40,$E17,$B$13+M$2)</f>
        <v>66.2</v>
      </c>
      <c r="O17">
        <v>13</v>
      </c>
      <c r="P17" s="18">
        <v>70</v>
      </c>
      <c r="Q17" s="19">
        <v>40</v>
      </c>
      <c r="R17">
        <f t="shared" si="0"/>
        <v>48.824999999999996</v>
      </c>
      <c r="S17">
        <f t="shared" si="1"/>
        <v>55.625</v>
      </c>
      <c r="T17">
        <f t="shared" si="2"/>
        <v>64.45</v>
      </c>
      <c r="V17">
        <v>13</v>
      </c>
      <c r="W17" s="18">
        <v>70</v>
      </c>
      <c r="X17" s="19">
        <v>40</v>
      </c>
      <c r="Y17">
        <f t="shared" si="3"/>
        <v>48.824999999999996</v>
      </c>
      <c r="Z17">
        <f t="shared" si="4"/>
        <v>55.625</v>
      </c>
      <c r="AA17" s="16">
        <f t="shared" si="5"/>
        <v>52.905000000000001</v>
      </c>
      <c r="AC17">
        <v>6</v>
      </c>
      <c r="AD17" s="19">
        <v>40</v>
      </c>
      <c r="AE17">
        <f t="shared" si="6"/>
        <v>39.405000000000001</v>
      </c>
    </row>
    <row r="18" spans="1:31" x14ac:dyDescent="0.25">
      <c r="A18" t="s">
        <v>59</v>
      </c>
      <c r="B18">
        <f>1-((B11-B16)/(B17-B16))</f>
        <v>0.125</v>
      </c>
      <c r="E18">
        <v>14</v>
      </c>
      <c r="F18" s="18">
        <v>70</v>
      </c>
      <c r="G18" s="19">
        <v>50</v>
      </c>
      <c r="H18">
        <f>INDEX('Data - brake energy'!$C$6:$T$40,$E18,$B$13+H$2)</f>
        <v>40.200000000000003</v>
      </c>
      <c r="I18">
        <f>INDEX('Data - brake energy'!$C$6:$T$40,$E18,$B$13+I$2)</f>
        <v>45.8</v>
      </c>
      <c r="J18">
        <f>INDEX('Data - brake energy'!$C$6:$T$40,$E18,$B$13+J$2)</f>
        <v>52.9</v>
      </c>
      <c r="K18">
        <f>INDEX('Data - brake energy'!$C$6:$T$40,$E18,$B$13+K$2)</f>
        <v>50.7</v>
      </c>
      <c r="L18">
        <f>INDEX('Data - brake energy'!$C$6:$T$40,$E18,$B$13+L$2)</f>
        <v>58</v>
      </c>
      <c r="M18">
        <f>INDEX('Data - brake energy'!$C$6:$T$40,$E18,$B$13+M$2)</f>
        <v>67.400000000000006</v>
      </c>
      <c r="O18">
        <v>14</v>
      </c>
      <c r="P18" s="18">
        <v>70</v>
      </c>
      <c r="Q18" s="19">
        <v>50</v>
      </c>
      <c r="R18">
        <f t="shared" si="0"/>
        <v>49.387500000000003</v>
      </c>
      <c r="S18">
        <f t="shared" si="1"/>
        <v>56.475000000000001</v>
      </c>
      <c r="T18">
        <f t="shared" si="2"/>
        <v>65.587500000000006</v>
      </c>
      <c r="V18">
        <v>14</v>
      </c>
      <c r="W18" s="18">
        <v>70</v>
      </c>
      <c r="X18" s="19">
        <v>50</v>
      </c>
      <c r="Y18">
        <f t="shared" si="3"/>
        <v>49.387500000000003</v>
      </c>
      <c r="Z18">
        <f t="shared" si="4"/>
        <v>56.475000000000001</v>
      </c>
      <c r="AA18" s="16">
        <f t="shared" si="5"/>
        <v>53.64</v>
      </c>
      <c r="AC18">
        <v>7</v>
      </c>
      <c r="AD18" s="19">
        <v>50</v>
      </c>
      <c r="AE18">
        <f t="shared" si="6"/>
        <v>39.704999999999998</v>
      </c>
    </row>
    <row r="19" spans="1:31" x14ac:dyDescent="0.25">
      <c r="E19">
        <v>15</v>
      </c>
      <c r="F19" s="18">
        <v>60</v>
      </c>
      <c r="G19" s="19">
        <v>0</v>
      </c>
      <c r="H19">
        <f>INDEX('Data - brake energy'!$C$6:$T$40,$E19,$B$13+H$2)</f>
        <v>31.7</v>
      </c>
      <c r="I19">
        <f>INDEX('Data - brake energy'!$C$6:$T$40,$E19,$B$13+I$2)</f>
        <v>35.9</v>
      </c>
      <c r="J19">
        <f>INDEX('Data - brake energy'!$C$6:$T$40,$E19,$B$13+J$2)</f>
        <v>41.2</v>
      </c>
      <c r="K19">
        <f>INDEX('Data - brake energy'!$C$6:$T$40,$E19,$B$13+K$2)</f>
        <v>39.6</v>
      </c>
      <c r="L19">
        <f>INDEX('Data - brake energy'!$C$6:$T$40,$E19,$B$13+L$2)</f>
        <v>45</v>
      </c>
      <c r="M19">
        <f>INDEX('Data - brake energy'!$C$6:$T$40,$E19,$B$13+M$2)</f>
        <v>51.8</v>
      </c>
      <c r="O19">
        <v>15</v>
      </c>
      <c r="P19" s="18">
        <v>60</v>
      </c>
      <c r="Q19" s="19">
        <v>0</v>
      </c>
      <c r="R19">
        <f t="shared" si="0"/>
        <v>38.612499999999997</v>
      </c>
      <c r="S19">
        <f t="shared" si="1"/>
        <v>43.862499999999997</v>
      </c>
      <c r="T19">
        <f t="shared" si="2"/>
        <v>50.474999999999994</v>
      </c>
      <c r="V19" s="27">
        <v>15</v>
      </c>
      <c r="W19" s="18">
        <v>60</v>
      </c>
      <c r="X19" s="19">
        <v>0</v>
      </c>
      <c r="Y19">
        <f t="shared" si="3"/>
        <v>38.612499999999997</v>
      </c>
      <c r="Z19">
        <f t="shared" si="4"/>
        <v>43.862499999999997</v>
      </c>
      <c r="AA19" s="16">
        <f t="shared" si="5"/>
        <v>41.762500000000003</v>
      </c>
      <c r="AD19" s="19"/>
    </row>
    <row r="20" spans="1:31" x14ac:dyDescent="0.25">
      <c r="A20" t="s">
        <v>60</v>
      </c>
      <c r="E20">
        <v>16</v>
      </c>
      <c r="F20" s="18">
        <v>60</v>
      </c>
      <c r="G20" s="19">
        <v>10</v>
      </c>
      <c r="H20">
        <f>INDEX('Data - brake energy'!$C$6:$T$40,$E20,$B$13+H$2)</f>
        <v>32.700000000000003</v>
      </c>
      <c r="I20">
        <f>INDEX('Data - brake energy'!$C$6:$T$40,$E20,$B$13+I$2)</f>
        <v>37.1</v>
      </c>
      <c r="J20">
        <f>INDEX('Data - brake energy'!$C$6:$T$40,$E20,$B$13+J$2)</f>
        <v>42.6</v>
      </c>
      <c r="K20">
        <f>INDEX('Data - brake energy'!$C$6:$T$40,$E20,$B$13+K$2)</f>
        <v>40.9</v>
      </c>
      <c r="L20">
        <f>INDEX('Data - brake energy'!$C$6:$T$40,$E20,$B$13+L$2)</f>
        <v>46.5</v>
      </c>
      <c r="M20">
        <f>INDEX('Data - brake energy'!$C$6:$T$40,$E20,$B$13+M$2)</f>
        <v>53.6</v>
      </c>
      <c r="O20">
        <v>16</v>
      </c>
      <c r="P20" s="18">
        <v>60</v>
      </c>
      <c r="Q20" s="19">
        <v>10</v>
      </c>
      <c r="R20">
        <f t="shared" si="0"/>
        <v>39.875</v>
      </c>
      <c r="S20">
        <f t="shared" si="1"/>
        <v>45.325000000000003</v>
      </c>
      <c r="T20">
        <f t="shared" si="2"/>
        <v>52.225000000000001</v>
      </c>
      <c r="V20">
        <v>16</v>
      </c>
      <c r="W20" s="18">
        <v>60</v>
      </c>
      <c r="X20" s="19">
        <v>10</v>
      </c>
      <c r="Y20">
        <f t="shared" si="3"/>
        <v>39.875</v>
      </c>
      <c r="Z20">
        <f t="shared" si="4"/>
        <v>45.325000000000003</v>
      </c>
      <c r="AA20" s="16">
        <f t="shared" si="5"/>
        <v>43.145000000000003</v>
      </c>
    </row>
    <row r="21" spans="1:31" x14ac:dyDescent="0.25">
      <c r="A21" t="s">
        <v>27</v>
      </c>
      <c r="B21">
        <f>MATCH(B14,H4:J4)</f>
        <v>1</v>
      </c>
      <c r="E21">
        <v>17</v>
      </c>
      <c r="F21" s="18">
        <v>60</v>
      </c>
      <c r="G21" s="19">
        <v>15</v>
      </c>
      <c r="H21">
        <f>INDEX('Data - brake energy'!$C$6:$T$40,$E21,$B$13+H$2)</f>
        <v>33.200000000000003</v>
      </c>
      <c r="I21">
        <f>INDEX('Data - brake energy'!$C$6:$T$40,$E21,$B$13+I$2)</f>
        <v>37.6</v>
      </c>
      <c r="J21">
        <f>INDEX('Data - brake energy'!$C$6:$T$40,$E21,$B$13+J$2)</f>
        <v>43.2</v>
      </c>
      <c r="K21">
        <f>INDEX('Data - brake energy'!$C$6:$T$40,$E21,$B$13+K$2)</f>
        <v>41.5</v>
      </c>
      <c r="L21">
        <f>INDEX('Data - brake energy'!$C$6:$T$40,$E21,$B$13+L$2)</f>
        <v>47.1</v>
      </c>
      <c r="M21">
        <f>INDEX('Data - brake energy'!$C$6:$T$40,$E21,$B$13+M$2)</f>
        <v>54.4</v>
      </c>
      <c r="O21">
        <v>17</v>
      </c>
      <c r="P21" s="18">
        <v>60</v>
      </c>
      <c r="Q21" s="19">
        <v>15</v>
      </c>
      <c r="R21">
        <f t="shared" si="0"/>
        <v>40.462499999999999</v>
      </c>
      <c r="S21">
        <f t="shared" si="1"/>
        <v>45.912500000000001</v>
      </c>
      <c r="T21">
        <f t="shared" si="2"/>
        <v>53</v>
      </c>
      <c r="V21">
        <v>17</v>
      </c>
      <c r="W21" s="18">
        <v>60</v>
      </c>
      <c r="X21" s="19">
        <v>15</v>
      </c>
      <c r="Y21">
        <f t="shared" si="3"/>
        <v>40.462499999999999</v>
      </c>
      <c r="Z21">
        <f t="shared" si="4"/>
        <v>45.912500000000001</v>
      </c>
      <c r="AA21" s="16">
        <f t="shared" si="5"/>
        <v>43.732500000000002</v>
      </c>
    </row>
    <row r="22" spans="1:31" x14ac:dyDescent="0.25">
      <c r="A22" t="s">
        <v>28</v>
      </c>
      <c r="B22">
        <f>B14-INDEX(H4:J4,1,B21)</f>
        <v>3</v>
      </c>
      <c r="E22">
        <v>18</v>
      </c>
      <c r="F22" s="18">
        <v>60</v>
      </c>
      <c r="G22" s="19">
        <v>20</v>
      </c>
      <c r="H22">
        <f>INDEX('Data - brake energy'!$C$6:$T$40,$E22,$B$13+H$2)</f>
        <v>33.6</v>
      </c>
      <c r="I22">
        <f>INDEX('Data - brake energy'!$C$6:$T$40,$E22,$B$13+I$2)</f>
        <v>38.1</v>
      </c>
      <c r="J22">
        <f>INDEX('Data - brake energy'!$C$6:$T$40,$E22,$B$13+J$2)</f>
        <v>43.8</v>
      </c>
      <c r="K22">
        <f>INDEX('Data - brake energy'!$C$6:$T$40,$E22,$B$13+K$2)</f>
        <v>42</v>
      </c>
      <c r="L22">
        <f>INDEX('Data - brake energy'!$C$6:$T$40,$E22,$B$13+L$2)</f>
        <v>47.8</v>
      </c>
      <c r="M22">
        <f>INDEX('Data - brake energy'!$C$6:$T$40,$E22,$B$13+M$2)</f>
        <v>55.1</v>
      </c>
      <c r="O22">
        <v>18</v>
      </c>
      <c r="P22" s="18">
        <v>60</v>
      </c>
      <c r="Q22" s="19">
        <v>20</v>
      </c>
      <c r="R22">
        <f t="shared" si="0"/>
        <v>40.950000000000003</v>
      </c>
      <c r="S22">
        <f t="shared" si="1"/>
        <v>46.587499999999999</v>
      </c>
      <c r="T22">
        <f t="shared" si="2"/>
        <v>53.6875</v>
      </c>
      <c r="V22">
        <v>18</v>
      </c>
      <c r="W22" s="18">
        <v>60</v>
      </c>
      <c r="X22" s="19">
        <v>20</v>
      </c>
      <c r="Y22">
        <f t="shared" si="3"/>
        <v>40.950000000000003</v>
      </c>
      <c r="Z22">
        <f t="shared" si="4"/>
        <v>46.587499999999999</v>
      </c>
      <c r="AA22" s="16">
        <f t="shared" si="5"/>
        <v>44.332499999999996</v>
      </c>
    </row>
    <row r="23" spans="1:31" x14ac:dyDescent="0.25">
      <c r="A23" t="s">
        <v>30</v>
      </c>
      <c r="B23">
        <f>J4-I4</f>
        <v>5</v>
      </c>
      <c r="E23">
        <v>19</v>
      </c>
      <c r="F23" s="18">
        <v>60</v>
      </c>
      <c r="G23" s="19">
        <v>30</v>
      </c>
      <c r="H23">
        <f>INDEX('Data - brake energy'!$C$6:$T$40,$E23,$B$13+H$2)</f>
        <v>34.5</v>
      </c>
      <c r="I23">
        <f>INDEX('Data - brake energy'!$C$6:$T$40,$E23,$B$13+I$2)</f>
        <v>39.1</v>
      </c>
      <c r="J23">
        <f>INDEX('Data - brake energy'!$C$6:$T$40,$E23,$B$13+J$2)</f>
        <v>44.9</v>
      </c>
      <c r="K23">
        <f>INDEX('Data - brake energy'!$C$6:$T$40,$E23,$B$13+K$2)</f>
        <v>43.1</v>
      </c>
      <c r="L23">
        <f>INDEX('Data - brake energy'!$C$6:$T$40,$E23,$B$13+L$2)</f>
        <v>49</v>
      </c>
      <c r="M23">
        <f>INDEX('Data - brake energy'!$C$6:$T$40,$E23,$B$13+M$2)</f>
        <v>56.5</v>
      </c>
      <c r="O23">
        <v>19</v>
      </c>
      <c r="P23" s="18">
        <v>60</v>
      </c>
      <c r="Q23" s="19">
        <v>30</v>
      </c>
      <c r="R23">
        <f t="shared" si="0"/>
        <v>42.024999999999999</v>
      </c>
      <c r="S23">
        <f t="shared" si="1"/>
        <v>47.762500000000003</v>
      </c>
      <c r="T23">
        <f t="shared" si="2"/>
        <v>55.05</v>
      </c>
      <c r="V23">
        <v>19</v>
      </c>
      <c r="W23" s="18">
        <v>60</v>
      </c>
      <c r="X23" s="19">
        <v>30</v>
      </c>
      <c r="Y23">
        <f t="shared" si="3"/>
        <v>42.024999999999999</v>
      </c>
      <c r="Z23">
        <f t="shared" si="4"/>
        <v>47.762500000000003</v>
      </c>
      <c r="AA23" s="16">
        <f t="shared" si="5"/>
        <v>45.467500000000001</v>
      </c>
    </row>
    <row r="24" spans="1:31" x14ac:dyDescent="0.25">
      <c r="A24" t="s">
        <v>29</v>
      </c>
      <c r="B24">
        <f>B22/B23</f>
        <v>0.6</v>
      </c>
      <c r="E24">
        <v>20</v>
      </c>
      <c r="F24" s="18">
        <v>60</v>
      </c>
      <c r="G24" s="19">
        <v>40</v>
      </c>
      <c r="H24">
        <f>INDEX('Data - brake energy'!$C$6:$T$40,$E24,$B$13+H$2)</f>
        <v>35</v>
      </c>
      <c r="I24">
        <f>INDEX('Data - brake energy'!$C$6:$T$40,$E24,$B$13+I$2)</f>
        <v>39.700000000000003</v>
      </c>
      <c r="J24">
        <f>INDEX('Data - brake energy'!$C$6:$T$40,$E24,$B$13+J$2)</f>
        <v>45.6</v>
      </c>
      <c r="K24">
        <f>INDEX('Data - brake energy'!$C$6:$T$40,$E24,$B$13+K$2)</f>
        <v>43.8</v>
      </c>
      <c r="L24">
        <f>INDEX('Data - brake energy'!$C$6:$T$40,$E24,$B$13+L$2)</f>
        <v>49.8</v>
      </c>
      <c r="M24">
        <f>INDEX('Data - brake energy'!$C$6:$T$40,$E24,$B$13+M$2)</f>
        <v>57.5</v>
      </c>
      <c r="O24">
        <v>20</v>
      </c>
      <c r="P24" s="18">
        <v>60</v>
      </c>
      <c r="Q24" s="19">
        <v>40</v>
      </c>
      <c r="R24">
        <f t="shared" si="0"/>
        <v>42.699999999999996</v>
      </c>
      <c r="S24">
        <f t="shared" si="1"/>
        <v>48.537499999999994</v>
      </c>
      <c r="T24">
        <f t="shared" si="2"/>
        <v>56.012500000000003</v>
      </c>
      <c r="V24">
        <v>20</v>
      </c>
      <c r="W24" s="18">
        <v>60</v>
      </c>
      <c r="X24" s="19">
        <v>40</v>
      </c>
      <c r="Y24">
        <f t="shared" si="3"/>
        <v>42.699999999999996</v>
      </c>
      <c r="Z24">
        <f t="shared" si="4"/>
        <v>48.537499999999994</v>
      </c>
      <c r="AA24" s="16">
        <f t="shared" si="5"/>
        <v>46.202499999999993</v>
      </c>
    </row>
    <row r="25" spans="1:31" x14ac:dyDescent="0.25">
      <c r="E25">
        <v>21</v>
      </c>
      <c r="F25" s="18">
        <v>60</v>
      </c>
      <c r="G25" s="19">
        <v>50</v>
      </c>
      <c r="H25">
        <f>INDEX('Data - brake energy'!$C$6:$T$40,$E25,$B$13+H$2)</f>
        <v>35.200000000000003</v>
      </c>
      <c r="I25">
        <f>INDEX('Data - brake energy'!$C$6:$T$40,$E25,$B$13+I$2)</f>
        <v>40</v>
      </c>
      <c r="J25">
        <f>INDEX('Data - brake energy'!$C$6:$T$40,$E25,$B$13+J$2)</f>
        <v>46</v>
      </c>
      <c r="K25">
        <f>INDEX('Data - brake energy'!$C$6:$T$40,$E25,$B$13+K$2)</f>
        <v>44.2</v>
      </c>
      <c r="L25">
        <f>INDEX('Data - brake energy'!$C$6:$T$40,$E25,$B$13+L$2)</f>
        <v>50.4</v>
      </c>
      <c r="M25">
        <f>INDEX('Data - brake energy'!$C$6:$T$40,$E25,$B$13+M$2)</f>
        <v>58.3</v>
      </c>
      <c r="O25">
        <v>21</v>
      </c>
      <c r="P25" s="18">
        <v>60</v>
      </c>
      <c r="Q25" s="19">
        <v>50</v>
      </c>
      <c r="R25">
        <f t="shared" si="0"/>
        <v>43.075000000000003</v>
      </c>
      <c r="S25">
        <f t="shared" si="1"/>
        <v>49.1</v>
      </c>
      <c r="T25">
        <f t="shared" si="2"/>
        <v>56.762499999999996</v>
      </c>
      <c r="V25">
        <v>21</v>
      </c>
      <c r="W25" s="18">
        <v>60</v>
      </c>
      <c r="X25" s="19">
        <v>50</v>
      </c>
      <c r="Y25">
        <f t="shared" si="3"/>
        <v>43.075000000000003</v>
      </c>
      <c r="Z25">
        <f t="shared" si="4"/>
        <v>49.1</v>
      </c>
      <c r="AA25" s="16">
        <f t="shared" si="5"/>
        <v>46.69</v>
      </c>
    </row>
    <row r="26" spans="1:31" x14ac:dyDescent="0.25">
      <c r="A26" t="s">
        <v>36</v>
      </c>
      <c r="B26">
        <f>Weight/1000</f>
        <v>50</v>
      </c>
      <c r="E26">
        <v>22</v>
      </c>
      <c r="F26" s="18">
        <v>50</v>
      </c>
      <c r="G26" s="19">
        <v>0</v>
      </c>
      <c r="H26">
        <f>INDEX('Data - brake energy'!$C$6:$T$40,$E26,$B$13+H$2)</f>
        <v>27.2</v>
      </c>
      <c r="I26">
        <f>INDEX('Data - brake energy'!$C$6:$T$40,$E26,$B$13+I$2)</f>
        <v>30.8</v>
      </c>
      <c r="J26">
        <f>INDEX('Data - brake energy'!$C$6:$T$40,$E26,$B$13+J$2)</f>
        <v>35.299999999999997</v>
      </c>
      <c r="K26">
        <f>INDEX('Data - brake energy'!$C$6:$T$40,$E26,$B$13+K$2)</f>
        <v>33.799999999999997</v>
      </c>
      <c r="L26">
        <f>INDEX('Data - brake energy'!$C$6:$T$40,$E26,$B$13+L$2)</f>
        <v>38.299999999999997</v>
      </c>
      <c r="M26">
        <f>INDEX('Data - brake energy'!$C$6:$T$40,$E26,$B$13+M$2)</f>
        <v>44.1</v>
      </c>
      <c r="O26">
        <v>22</v>
      </c>
      <c r="P26" s="18">
        <v>50</v>
      </c>
      <c r="Q26" s="19">
        <v>0</v>
      </c>
      <c r="R26">
        <f t="shared" si="0"/>
        <v>32.974999999999994</v>
      </c>
      <c r="S26">
        <f t="shared" si="1"/>
        <v>37.362499999999997</v>
      </c>
      <c r="T26">
        <f t="shared" si="2"/>
        <v>43</v>
      </c>
      <c r="V26" s="27">
        <v>22</v>
      </c>
      <c r="W26" s="18">
        <v>50</v>
      </c>
      <c r="X26" s="19">
        <v>0</v>
      </c>
      <c r="Y26">
        <f t="shared" si="3"/>
        <v>32.974999999999994</v>
      </c>
      <c r="Z26">
        <f t="shared" si="4"/>
        <v>37.362499999999997</v>
      </c>
      <c r="AA26" s="16">
        <f t="shared" si="5"/>
        <v>35.607499999999995</v>
      </c>
    </row>
    <row r="27" spans="1:31" x14ac:dyDescent="0.25">
      <c r="A27" t="s">
        <v>35</v>
      </c>
      <c r="B27">
        <f>MATCH(B26,W5:W39,-1)</f>
        <v>22</v>
      </c>
      <c r="E27">
        <v>23</v>
      </c>
      <c r="F27" s="18">
        <v>50</v>
      </c>
      <c r="G27" s="19">
        <v>10</v>
      </c>
      <c r="H27">
        <f>INDEX('Data - brake energy'!$C$6:$T$40,$E27,$B$13+H$2)</f>
        <v>28.1</v>
      </c>
      <c r="I27">
        <f>INDEX('Data - brake energy'!$C$6:$T$40,$E27,$B$13+I$2)</f>
        <v>31.8</v>
      </c>
      <c r="J27">
        <f>INDEX('Data - brake energy'!$C$6:$T$40,$E27,$B$13+J$2)</f>
        <v>36.5</v>
      </c>
      <c r="K27">
        <f>INDEX('Data - brake energy'!$C$6:$T$40,$E27,$B$13+K$2)</f>
        <v>34.9</v>
      </c>
      <c r="L27">
        <f>INDEX('Data - brake energy'!$C$6:$T$40,$E27,$B$13+L$2)</f>
        <v>39.6</v>
      </c>
      <c r="M27">
        <f>INDEX('Data - brake energy'!$C$6:$T$40,$E27,$B$13+M$2)</f>
        <v>45.5</v>
      </c>
      <c r="O27">
        <v>23</v>
      </c>
      <c r="P27" s="18">
        <v>50</v>
      </c>
      <c r="Q27" s="19">
        <v>10</v>
      </c>
      <c r="R27">
        <f t="shared" si="0"/>
        <v>34.049999999999997</v>
      </c>
      <c r="S27">
        <f t="shared" si="1"/>
        <v>38.625</v>
      </c>
      <c r="T27">
        <f t="shared" si="2"/>
        <v>44.375</v>
      </c>
      <c r="V27">
        <v>23</v>
      </c>
      <c r="W27" s="18">
        <v>50</v>
      </c>
      <c r="X27" s="19">
        <v>10</v>
      </c>
      <c r="Y27">
        <f t="shared" si="3"/>
        <v>34.049999999999997</v>
      </c>
      <c r="Z27">
        <f t="shared" si="4"/>
        <v>38.625</v>
      </c>
      <c r="AA27" s="16">
        <f t="shared" si="5"/>
        <v>36.795000000000002</v>
      </c>
    </row>
    <row r="28" spans="1:31" x14ac:dyDescent="0.25">
      <c r="A28" t="s">
        <v>37</v>
      </c>
      <c r="B28">
        <f>IF(MOD(B27-1,7) = 0, B27-1, B27)</f>
        <v>21</v>
      </c>
      <c r="E28">
        <v>24</v>
      </c>
      <c r="F28" s="18">
        <v>50</v>
      </c>
      <c r="G28" s="19">
        <v>15</v>
      </c>
      <c r="H28">
        <f>INDEX('Data - brake energy'!$C$6:$T$40,$E28,$B$13+H$2)</f>
        <v>28.6</v>
      </c>
      <c r="I28">
        <f>INDEX('Data - brake energy'!$C$6:$T$40,$E28,$B$13+I$2)</f>
        <v>32.299999999999997</v>
      </c>
      <c r="J28">
        <f>INDEX('Data - brake energy'!$C$6:$T$40,$E28,$B$13+J$2)</f>
        <v>37</v>
      </c>
      <c r="K28">
        <f>INDEX('Data - brake energy'!$C$6:$T$40,$E28,$B$13+K$2)</f>
        <v>35.4</v>
      </c>
      <c r="L28">
        <f>INDEX('Data - brake energy'!$C$6:$T$40,$E28,$B$13+L$2)</f>
        <v>40.200000000000003</v>
      </c>
      <c r="M28">
        <f>INDEX('Data - brake energy'!$C$6:$T$40,$E28,$B$13+M$2)</f>
        <v>46.2</v>
      </c>
      <c r="O28">
        <v>24</v>
      </c>
      <c r="P28" s="18">
        <v>50</v>
      </c>
      <c r="Q28" s="19">
        <v>15</v>
      </c>
      <c r="R28">
        <f t="shared" si="0"/>
        <v>34.549999999999997</v>
      </c>
      <c r="S28">
        <f t="shared" si="1"/>
        <v>39.212500000000006</v>
      </c>
      <c r="T28">
        <f t="shared" si="2"/>
        <v>45.050000000000004</v>
      </c>
      <c r="V28">
        <v>24</v>
      </c>
      <c r="W28" s="18">
        <v>50</v>
      </c>
      <c r="X28" s="19">
        <v>15</v>
      </c>
      <c r="Y28">
        <f t="shared" si="3"/>
        <v>34.549999999999997</v>
      </c>
      <c r="Z28">
        <f t="shared" si="4"/>
        <v>39.212500000000006</v>
      </c>
      <c r="AA28" s="16">
        <f t="shared" si="5"/>
        <v>37.347500000000004</v>
      </c>
    </row>
    <row r="29" spans="1:31" x14ac:dyDescent="0.25">
      <c r="A29" t="s">
        <v>40</v>
      </c>
      <c r="B29">
        <v>10</v>
      </c>
      <c r="E29">
        <v>25</v>
      </c>
      <c r="F29" s="18">
        <v>50</v>
      </c>
      <c r="G29" s="19">
        <v>20</v>
      </c>
      <c r="H29">
        <f>INDEX('Data - brake energy'!$C$6:$T$40,$E29,$B$13+H$2)</f>
        <v>28.9</v>
      </c>
      <c r="I29">
        <f>INDEX('Data - brake energy'!$C$6:$T$40,$E29,$B$13+I$2)</f>
        <v>32.799999999999997</v>
      </c>
      <c r="J29">
        <f>INDEX('Data - brake energy'!$C$6:$T$40,$E29,$B$13+J$2)</f>
        <v>37.5</v>
      </c>
      <c r="K29">
        <f>INDEX('Data - brake energy'!$C$6:$T$40,$E29,$B$13+K$2)</f>
        <v>35.9</v>
      </c>
      <c r="L29">
        <f>INDEX('Data - brake energy'!$C$6:$T$40,$E29,$B$13+L$2)</f>
        <v>40.700000000000003</v>
      </c>
      <c r="M29">
        <f>INDEX('Data - brake energy'!$C$6:$T$40,$E29,$B$13+M$2)</f>
        <v>46.8</v>
      </c>
      <c r="O29">
        <v>25</v>
      </c>
      <c r="P29" s="18">
        <v>50</v>
      </c>
      <c r="Q29" s="19">
        <v>20</v>
      </c>
      <c r="R29">
        <f t="shared" si="0"/>
        <v>35.024999999999999</v>
      </c>
      <c r="S29">
        <f t="shared" si="1"/>
        <v>39.712500000000006</v>
      </c>
      <c r="T29">
        <f t="shared" si="2"/>
        <v>45.637499999999996</v>
      </c>
      <c r="V29">
        <v>25</v>
      </c>
      <c r="W29" s="18">
        <v>50</v>
      </c>
      <c r="X29" s="19">
        <v>20</v>
      </c>
      <c r="Y29">
        <f t="shared" si="3"/>
        <v>35.024999999999999</v>
      </c>
      <c r="Z29">
        <f t="shared" si="4"/>
        <v>39.712500000000006</v>
      </c>
      <c r="AA29" s="16">
        <f t="shared" si="5"/>
        <v>37.837500000000006</v>
      </c>
    </row>
    <row r="30" spans="1:31" x14ac:dyDescent="0.25">
      <c r="A30" t="s">
        <v>39</v>
      </c>
      <c r="B30">
        <f>(B26-INDEX(W5:W39,B28+1))/B29</f>
        <v>0</v>
      </c>
      <c r="E30">
        <v>26</v>
      </c>
      <c r="F30" s="18">
        <v>50</v>
      </c>
      <c r="G30" s="19">
        <v>30</v>
      </c>
      <c r="H30">
        <f>INDEX('Data - brake energy'!$C$6:$T$40,$E30,$B$13+H$2)</f>
        <v>29.7</v>
      </c>
      <c r="I30">
        <f>INDEX('Data - brake energy'!$C$6:$T$40,$E30,$B$13+I$2)</f>
        <v>33.6</v>
      </c>
      <c r="J30">
        <f>INDEX('Data - brake energy'!$C$6:$T$40,$E30,$B$13+J$2)</f>
        <v>38.4</v>
      </c>
      <c r="K30">
        <f>INDEX('Data - brake energy'!$C$6:$T$40,$E30,$B$13+K$2)</f>
        <v>36.799999999999997</v>
      </c>
      <c r="L30">
        <f>INDEX('Data - brake energy'!$C$6:$T$40,$E30,$B$13+L$2)</f>
        <v>41.8</v>
      </c>
      <c r="M30">
        <f>INDEX('Data - brake energy'!$C$6:$T$40,$E30,$B$13+M$2)</f>
        <v>48</v>
      </c>
      <c r="O30">
        <v>26</v>
      </c>
      <c r="P30" s="18">
        <v>50</v>
      </c>
      <c r="Q30" s="19">
        <v>30</v>
      </c>
      <c r="R30">
        <f t="shared" si="0"/>
        <v>35.912499999999994</v>
      </c>
      <c r="S30">
        <f t="shared" si="1"/>
        <v>40.774999999999999</v>
      </c>
      <c r="T30">
        <f t="shared" si="2"/>
        <v>46.8</v>
      </c>
      <c r="V30">
        <v>26</v>
      </c>
      <c r="W30" s="18">
        <v>50</v>
      </c>
      <c r="X30" s="19">
        <v>30</v>
      </c>
      <c r="Y30">
        <f t="shared" si="3"/>
        <v>35.912499999999994</v>
      </c>
      <c r="Z30">
        <f t="shared" si="4"/>
        <v>40.774999999999999</v>
      </c>
      <c r="AA30" s="16">
        <f t="shared" si="5"/>
        <v>38.83</v>
      </c>
    </row>
    <row r="31" spans="1:31" x14ac:dyDescent="0.25">
      <c r="E31">
        <v>27</v>
      </c>
      <c r="F31" s="18">
        <v>50</v>
      </c>
      <c r="G31" s="19">
        <v>40</v>
      </c>
      <c r="H31">
        <f>INDEX('Data - brake energy'!$C$6:$T$40,$E31,$B$13+H$2)</f>
        <v>30.1</v>
      </c>
      <c r="I31">
        <f>INDEX('Data - brake energy'!$C$6:$T$40,$E31,$B$13+I$2)</f>
        <v>34</v>
      </c>
      <c r="J31">
        <f>INDEX('Data - brake energy'!$C$6:$T$40,$E31,$B$13+J$2)</f>
        <v>39</v>
      </c>
      <c r="K31">
        <f>INDEX('Data - brake energy'!$C$6:$T$40,$E31,$B$13+K$2)</f>
        <v>37.4</v>
      </c>
      <c r="L31">
        <f>INDEX('Data - brake energy'!$C$6:$T$40,$E31,$B$13+L$2)</f>
        <v>42.4</v>
      </c>
      <c r="M31">
        <f>INDEX('Data - brake energy'!$C$6:$T$40,$E31,$B$13+M$2)</f>
        <v>48.8</v>
      </c>
      <c r="O31">
        <v>27</v>
      </c>
      <c r="P31" s="18">
        <v>50</v>
      </c>
      <c r="Q31" s="19">
        <v>40</v>
      </c>
      <c r="R31">
        <f t="shared" si="0"/>
        <v>36.487500000000004</v>
      </c>
      <c r="S31">
        <f t="shared" si="1"/>
        <v>41.35</v>
      </c>
      <c r="T31">
        <f t="shared" si="2"/>
        <v>47.574999999999996</v>
      </c>
      <c r="V31">
        <v>27</v>
      </c>
      <c r="W31" s="18">
        <v>50</v>
      </c>
      <c r="X31" s="19">
        <v>40</v>
      </c>
      <c r="Y31">
        <f t="shared" si="3"/>
        <v>36.487500000000004</v>
      </c>
      <c r="Z31">
        <f t="shared" si="4"/>
        <v>41.35</v>
      </c>
      <c r="AA31" s="16">
        <f t="shared" si="5"/>
        <v>39.405000000000001</v>
      </c>
    </row>
    <row r="32" spans="1:31" x14ac:dyDescent="0.25">
      <c r="A32" t="s">
        <v>41</v>
      </c>
      <c r="B32">
        <f>MATCH(B5,AD5:AD11)</f>
        <v>2</v>
      </c>
      <c r="E32">
        <v>28</v>
      </c>
      <c r="F32" s="18">
        <v>50</v>
      </c>
      <c r="G32" s="19">
        <v>50</v>
      </c>
      <c r="H32">
        <f>INDEX('Data - brake energy'!$C$6:$T$40,$E32,$B$13+H$2)</f>
        <v>30.2</v>
      </c>
      <c r="I32">
        <f>INDEX('Data - brake energy'!$C$6:$T$40,$E32,$B$13+I$2)</f>
        <v>34.200000000000003</v>
      </c>
      <c r="J32">
        <f>INDEX('Data - brake energy'!$C$6:$T$40,$E32,$B$13+J$2)</f>
        <v>39.299999999999997</v>
      </c>
      <c r="K32">
        <f>INDEX('Data - brake energy'!$C$6:$T$40,$E32,$B$13+K$2)</f>
        <v>37.6</v>
      </c>
      <c r="L32">
        <f>INDEX('Data - brake energy'!$C$6:$T$40,$E32,$B$13+L$2)</f>
        <v>42.8</v>
      </c>
      <c r="M32">
        <f>INDEX('Data - brake energy'!$C$6:$T$40,$E32,$B$13+M$2)</f>
        <v>49.3</v>
      </c>
      <c r="O32">
        <v>28</v>
      </c>
      <c r="P32" s="18">
        <v>50</v>
      </c>
      <c r="Q32" s="19">
        <v>50</v>
      </c>
      <c r="R32">
        <f t="shared" si="0"/>
        <v>36.674999999999997</v>
      </c>
      <c r="S32">
        <f t="shared" si="1"/>
        <v>41.724999999999994</v>
      </c>
      <c r="T32">
        <f t="shared" si="2"/>
        <v>48.05</v>
      </c>
      <c r="V32">
        <v>28</v>
      </c>
      <c r="W32" s="18">
        <v>50</v>
      </c>
      <c r="X32" s="19">
        <v>50</v>
      </c>
      <c r="Y32">
        <f t="shared" si="3"/>
        <v>36.674999999999997</v>
      </c>
      <c r="Z32">
        <f t="shared" si="4"/>
        <v>41.724999999999994</v>
      </c>
      <c r="AA32" s="16">
        <f t="shared" si="5"/>
        <v>39.704999999999998</v>
      </c>
    </row>
    <row r="33" spans="1:27" x14ac:dyDescent="0.25">
      <c r="A33" t="s">
        <v>42</v>
      </c>
      <c r="B33">
        <f>INDEX(AD5:AD11,B32)</f>
        <v>10</v>
      </c>
      <c r="E33">
        <v>29</v>
      </c>
      <c r="F33" s="18">
        <v>40</v>
      </c>
      <c r="G33" s="19">
        <v>0</v>
      </c>
      <c r="H33">
        <f>INDEX('Data - brake energy'!$C$6:$T$40,$E33,$B$13+H$2)</f>
        <v>22.8</v>
      </c>
      <c r="I33">
        <f>INDEX('Data - brake energy'!$C$6:$T$40,$E33,$B$13+I$2)</f>
        <v>25.8</v>
      </c>
      <c r="J33">
        <f>INDEX('Data - brake energy'!$C$6:$T$40,$E33,$B$13+J$2)</f>
        <v>29.4</v>
      </c>
      <c r="K33">
        <f>INDEX('Data - brake energy'!$C$6:$T$40,$E33,$B$13+K$2)</f>
        <v>28.1</v>
      </c>
      <c r="L33">
        <f>INDEX('Data - brake energy'!$C$6:$T$40,$E33,$B$13+L$2)</f>
        <v>31.8</v>
      </c>
      <c r="M33">
        <f>INDEX('Data - brake energy'!$C$6:$T$40,$E33,$B$13+M$2)</f>
        <v>36.4</v>
      </c>
      <c r="O33">
        <v>29</v>
      </c>
      <c r="P33" s="18">
        <v>40</v>
      </c>
      <c r="Q33" s="19">
        <v>0</v>
      </c>
      <c r="R33">
        <f t="shared" si="0"/>
        <v>27.437500000000004</v>
      </c>
      <c r="S33">
        <f t="shared" si="1"/>
        <v>31.05</v>
      </c>
      <c r="T33">
        <f t="shared" si="2"/>
        <v>35.524999999999999</v>
      </c>
      <c r="V33" s="27">
        <v>29</v>
      </c>
      <c r="W33" s="18">
        <v>40</v>
      </c>
      <c r="X33" s="19">
        <v>0</v>
      </c>
      <c r="Y33">
        <f t="shared" si="3"/>
        <v>27.437500000000004</v>
      </c>
      <c r="Z33">
        <f t="shared" si="4"/>
        <v>31.05</v>
      </c>
      <c r="AA33" s="16">
        <f t="shared" si="5"/>
        <v>29.605</v>
      </c>
    </row>
    <row r="34" spans="1:27" x14ac:dyDescent="0.25">
      <c r="A34" t="s">
        <v>44</v>
      </c>
      <c r="B34">
        <f>INDEX(AD5:AD11,B32+1)</f>
        <v>15</v>
      </c>
      <c r="E34">
        <v>30</v>
      </c>
      <c r="F34" s="18">
        <v>40</v>
      </c>
      <c r="G34" s="19">
        <v>10</v>
      </c>
      <c r="H34">
        <f>INDEX('Data - brake energy'!$C$6:$T$40,$E34,$B$13+H$2)</f>
        <v>23.6</v>
      </c>
      <c r="I34">
        <f>INDEX('Data - brake energy'!$C$6:$T$40,$E34,$B$13+I$2)</f>
        <v>26.6</v>
      </c>
      <c r="J34">
        <f>INDEX('Data - brake energy'!$C$6:$T$40,$E34,$B$13+J$2)</f>
        <v>30.4</v>
      </c>
      <c r="K34">
        <f>INDEX('Data - brake energy'!$C$6:$T$40,$E34,$B$13+K$2)</f>
        <v>29</v>
      </c>
      <c r="L34">
        <f>INDEX('Data - brake energy'!$C$6:$T$40,$E34,$B$13+L$2)</f>
        <v>32.799999999999997</v>
      </c>
      <c r="M34">
        <f>INDEX('Data - brake energy'!$C$6:$T$40,$E34,$B$13+M$2)</f>
        <v>37.6</v>
      </c>
      <c r="O34">
        <v>30</v>
      </c>
      <c r="P34" s="18">
        <v>40</v>
      </c>
      <c r="Q34" s="19">
        <v>10</v>
      </c>
      <c r="R34">
        <f t="shared" si="0"/>
        <v>28.324999999999999</v>
      </c>
      <c r="S34">
        <f t="shared" si="1"/>
        <v>32.024999999999999</v>
      </c>
      <c r="T34">
        <f t="shared" si="2"/>
        <v>36.699999999999996</v>
      </c>
      <c r="V34">
        <v>30</v>
      </c>
      <c r="W34" s="18">
        <v>40</v>
      </c>
      <c r="X34" s="19">
        <v>10</v>
      </c>
      <c r="Y34">
        <f t="shared" si="3"/>
        <v>28.324999999999999</v>
      </c>
      <c r="Z34">
        <f t="shared" si="4"/>
        <v>32.024999999999999</v>
      </c>
      <c r="AA34" s="16">
        <f t="shared" si="5"/>
        <v>30.545000000000002</v>
      </c>
    </row>
    <row r="35" spans="1:27" x14ac:dyDescent="0.25">
      <c r="A35" t="s">
        <v>43</v>
      </c>
      <c r="B35">
        <f>(B5-B33)/(B34-B33)</f>
        <v>0.6</v>
      </c>
      <c r="E35">
        <v>31</v>
      </c>
      <c r="F35" s="18">
        <v>40</v>
      </c>
      <c r="G35" s="19">
        <v>15</v>
      </c>
      <c r="H35">
        <f>INDEX('Data - brake energy'!$C$6:$T$40,$E35,$B$13+H$2)</f>
        <v>23.9</v>
      </c>
      <c r="I35">
        <f>INDEX('Data - brake energy'!$C$6:$T$40,$E35,$B$13+I$2)</f>
        <v>27</v>
      </c>
      <c r="J35">
        <f>INDEX('Data - brake energy'!$C$6:$T$40,$E35,$B$13+J$2)</f>
        <v>30.8</v>
      </c>
      <c r="K35">
        <f>INDEX('Data - brake energy'!$C$6:$T$40,$E35,$B$13+K$2)</f>
        <v>29.4</v>
      </c>
      <c r="L35">
        <f>INDEX('Data - brake energy'!$C$6:$T$40,$E35,$B$13+L$2)</f>
        <v>33.299999999999997</v>
      </c>
      <c r="M35">
        <f>INDEX('Data - brake energy'!$C$6:$T$40,$E35,$B$13+M$2)</f>
        <v>38.200000000000003</v>
      </c>
      <c r="O35">
        <v>31</v>
      </c>
      <c r="P35" s="18">
        <v>40</v>
      </c>
      <c r="Q35" s="19">
        <v>15</v>
      </c>
      <c r="R35">
        <f t="shared" si="0"/>
        <v>28.712499999999999</v>
      </c>
      <c r="S35">
        <f t="shared" si="1"/>
        <v>32.512499999999996</v>
      </c>
      <c r="T35">
        <f t="shared" si="2"/>
        <v>37.275000000000006</v>
      </c>
      <c r="V35">
        <v>31</v>
      </c>
      <c r="W35" s="18">
        <v>40</v>
      </c>
      <c r="X35" s="19">
        <v>15</v>
      </c>
      <c r="Y35">
        <f t="shared" si="3"/>
        <v>28.712499999999999</v>
      </c>
      <c r="Z35">
        <f t="shared" si="4"/>
        <v>32.512499999999996</v>
      </c>
      <c r="AA35" s="16">
        <f t="shared" si="5"/>
        <v>30.992499999999996</v>
      </c>
    </row>
    <row r="36" spans="1:27" x14ac:dyDescent="0.25">
      <c r="A36" t="s">
        <v>47</v>
      </c>
      <c r="B36">
        <f>INDEX(AF5:AF11,B32)</f>
        <v>36.795000000000002</v>
      </c>
      <c r="E36">
        <v>32</v>
      </c>
      <c r="F36" s="18">
        <v>40</v>
      </c>
      <c r="G36" s="19">
        <v>20</v>
      </c>
      <c r="H36">
        <f>INDEX('Data - brake energy'!$C$6:$T$40,$E36,$B$13+H$2)</f>
        <v>24.2</v>
      </c>
      <c r="I36">
        <f>INDEX('Data - brake energy'!$C$6:$T$40,$E36,$B$13+I$2)</f>
        <v>27.4</v>
      </c>
      <c r="J36">
        <f>INDEX('Data - brake energy'!$C$6:$T$40,$E36,$B$13+J$2)</f>
        <v>31.3</v>
      </c>
      <c r="K36">
        <f>INDEX('Data - brake energy'!$C$6:$T$40,$E36,$B$13+K$2)</f>
        <v>29.8</v>
      </c>
      <c r="L36">
        <f>INDEX('Data - brake energy'!$C$6:$T$40,$E36,$B$13+L$2)</f>
        <v>33.799999999999997</v>
      </c>
      <c r="M36">
        <f>INDEX('Data - brake energy'!$C$6:$T$40,$E36,$B$13+M$2)</f>
        <v>38.700000000000003</v>
      </c>
      <c r="O36">
        <v>32</v>
      </c>
      <c r="P36" s="18">
        <v>40</v>
      </c>
      <c r="Q36" s="19">
        <v>20</v>
      </c>
      <c r="R36">
        <f t="shared" si="0"/>
        <v>29.099999999999998</v>
      </c>
      <c r="S36">
        <f t="shared" si="1"/>
        <v>32.999999999999993</v>
      </c>
      <c r="T36">
        <f t="shared" si="2"/>
        <v>37.775000000000006</v>
      </c>
      <c r="V36">
        <v>32</v>
      </c>
      <c r="W36" s="18">
        <v>40</v>
      </c>
      <c r="X36" s="19">
        <v>20</v>
      </c>
      <c r="Y36">
        <f t="shared" si="3"/>
        <v>29.099999999999998</v>
      </c>
      <c r="Z36">
        <f t="shared" si="4"/>
        <v>32.999999999999993</v>
      </c>
      <c r="AA36" s="16">
        <f t="shared" si="5"/>
        <v>31.439999999999994</v>
      </c>
    </row>
    <row r="37" spans="1:27" x14ac:dyDescent="0.25">
      <c r="A37" t="s">
        <v>48</v>
      </c>
      <c r="B37">
        <f>INDEX(AF5:AF11,B32+1)</f>
        <v>37.347500000000004</v>
      </c>
      <c r="E37">
        <v>33</v>
      </c>
      <c r="F37" s="18">
        <v>40</v>
      </c>
      <c r="G37" s="19">
        <v>30</v>
      </c>
      <c r="H37">
        <f>INDEX('Data - brake energy'!$C$6:$T$40,$E37,$B$13+H$2)</f>
        <v>24.9</v>
      </c>
      <c r="I37">
        <f>INDEX('Data - brake energy'!$C$6:$T$40,$E37,$B$13+I$2)</f>
        <v>28.1</v>
      </c>
      <c r="J37">
        <f>INDEX('Data - brake energy'!$C$6:$T$40,$E37,$B$13+J$2)</f>
        <v>32.1</v>
      </c>
      <c r="K37">
        <f>INDEX('Data - brake energy'!$C$6:$T$40,$E37,$B$13+K$2)</f>
        <v>30.6</v>
      </c>
      <c r="L37">
        <f>INDEX('Data - brake energy'!$C$6:$T$40,$E37,$B$13+L$2)</f>
        <v>34.6</v>
      </c>
      <c r="M37">
        <f>INDEX('Data - brake energy'!$C$6:$T$40,$E37,$B$13+M$2)</f>
        <v>39.700000000000003</v>
      </c>
      <c r="O37">
        <v>33</v>
      </c>
      <c r="P37" s="18">
        <v>40</v>
      </c>
      <c r="Q37" s="19">
        <v>30</v>
      </c>
      <c r="R37">
        <f t="shared" si="0"/>
        <v>29.887500000000003</v>
      </c>
      <c r="S37">
        <f t="shared" si="1"/>
        <v>33.787500000000001</v>
      </c>
      <c r="T37">
        <f t="shared" si="2"/>
        <v>38.750000000000007</v>
      </c>
      <c r="V37">
        <v>33</v>
      </c>
      <c r="W37" s="18">
        <v>40</v>
      </c>
      <c r="X37" s="19">
        <v>30</v>
      </c>
      <c r="Y37">
        <f t="shared" si="3"/>
        <v>29.887500000000003</v>
      </c>
      <c r="Z37">
        <f t="shared" si="4"/>
        <v>33.787500000000001</v>
      </c>
      <c r="AA37" s="16">
        <f t="shared" si="5"/>
        <v>32.227500000000006</v>
      </c>
    </row>
    <row r="38" spans="1:27" x14ac:dyDescent="0.25">
      <c r="E38">
        <v>34</v>
      </c>
      <c r="F38" s="18">
        <v>40</v>
      </c>
      <c r="G38" s="19">
        <v>40</v>
      </c>
      <c r="H38">
        <f>INDEX('Data - brake energy'!$C$6:$T$40,$E38,$B$13+H$2)</f>
        <v>25.2</v>
      </c>
      <c r="I38">
        <f>INDEX('Data - brake energy'!$C$6:$T$40,$E38,$B$13+I$2)</f>
        <v>28.4</v>
      </c>
      <c r="J38">
        <f>INDEX('Data - brake energy'!$C$6:$T$40,$E38,$B$13+J$2)</f>
        <v>32.5</v>
      </c>
      <c r="K38">
        <f>INDEX('Data - brake energy'!$C$6:$T$40,$E38,$B$13+K$2)</f>
        <v>31</v>
      </c>
      <c r="L38">
        <f>INDEX('Data - brake energy'!$C$6:$T$40,$E38,$B$13+L$2)</f>
        <v>35.1</v>
      </c>
      <c r="M38">
        <f>INDEX('Data - brake energy'!$C$6:$T$40,$E38,$B$13+M$2)</f>
        <v>40.200000000000003</v>
      </c>
      <c r="O38">
        <v>34</v>
      </c>
      <c r="P38" s="18">
        <v>40</v>
      </c>
      <c r="Q38" s="19">
        <v>40</v>
      </c>
      <c r="R38">
        <f t="shared" si="0"/>
        <v>30.274999999999999</v>
      </c>
      <c r="S38">
        <f t="shared" si="1"/>
        <v>34.262500000000003</v>
      </c>
      <c r="T38">
        <f t="shared" si="2"/>
        <v>39.237500000000004</v>
      </c>
      <c r="V38">
        <v>34</v>
      </c>
      <c r="W38" s="18">
        <v>40</v>
      </c>
      <c r="X38" s="19">
        <v>40</v>
      </c>
      <c r="Y38">
        <f t="shared" si="3"/>
        <v>30.274999999999999</v>
      </c>
      <c r="Z38">
        <f t="shared" si="4"/>
        <v>34.262500000000003</v>
      </c>
      <c r="AA38" s="16">
        <f t="shared" si="5"/>
        <v>32.667500000000004</v>
      </c>
    </row>
    <row r="39" spans="1:27" x14ac:dyDescent="0.25">
      <c r="A39" t="s">
        <v>46</v>
      </c>
      <c r="B39" s="16">
        <f>B36*(1-B35)+B37*B35</f>
        <v>37.1265</v>
      </c>
      <c r="E39">
        <v>35</v>
      </c>
      <c r="F39" s="20">
        <v>40</v>
      </c>
      <c r="G39" s="21">
        <v>50</v>
      </c>
      <c r="H39">
        <f>INDEX('Data - brake energy'!$C$6:$T$40,$E39,$B$13+H$2)</f>
        <v>25.2</v>
      </c>
      <c r="I39">
        <f>INDEX('Data - brake energy'!$C$6:$T$40,$E39,$B$13+I$2)</f>
        <v>28.6</v>
      </c>
      <c r="J39">
        <f>INDEX('Data - brake energy'!$C$6:$T$40,$E39,$B$13+J$2)</f>
        <v>32.700000000000003</v>
      </c>
      <c r="K39">
        <f>INDEX('Data - brake energy'!$C$6:$T$40,$E39,$B$13+K$2)</f>
        <v>31.1</v>
      </c>
      <c r="L39">
        <f>INDEX('Data - brake energy'!$C$6:$T$40,$E39,$B$13+L$2)</f>
        <v>35.299999999999997</v>
      </c>
      <c r="M39">
        <f>INDEX('Data - brake energy'!$C$6:$T$40,$E39,$B$13+M$2)</f>
        <v>40.6</v>
      </c>
      <c r="O39">
        <v>35</v>
      </c>
      <c r="P39" s="20">
        <v>40</v>
      </c>
      <c r="Q39" s="21">
        <v>50</v>
      </c>
      <c r="R39">
        <f t="shared" si="0"/>
        <v>30.362500000000001</v>
      </c>
      <c r="S39">
        <f t="shared" si="1"/>
        <v>34.462499999999999</v>
      </c>
      <c r="T39">
        <f t="shared" si="2"/>
        <v>39.612499999999997</v>
      </c>
      <c r="V39">
        <v>35</v>
      </c>
      <c r="W39" s="20">
        <v>40</v>
      </c>
      <c r="X39" s="21">
        <v>50</v>
      </c>
      <c r="Y39">
        <f t="shared" si="3"/>
        <v>30.362500000000001</v>
      </c>
      <c r="Z39">
        <f t="shared" si="4"/>
        <v>34.462499999999999</v>
      </c>
      <c r="AA39" s="16">
        <f t="shared" si="5"/>
        <v>32.822499999999998</v>
      </c>
    </row>
    <row r="42" spans="1:27" x14ac:dyDescent="0.25">
      <c r="A42" t="s">
        <v>80</v>
      </c>
    </row>
    <row r="43" spans="1:27" x14ac:dyDescent="0.25">
      <c r="A43" t="s">
        <v>73</v>
      </c>
      <c r="B43" t="str">
        <f>Event</f>
        <v>LDG AUTOBRAKE 3</v>
      </c>
      <c r="C43" t="s">
        <v>81</v>
      </c>
      <c r="D43" t="s">
        <v>82</v>
      </c>
      <c r="F43" t="s">
        <v>88</v>
      </c>
    </row>
    <row r="44" spans="1:27" ht="15.75" x14ac:dyDescent="0.25">
      <c r="A44" t="s">
        <v>86</v>
      </c>
      <c r="B44" t="str">
        <f>Reverse_credit</f>
        <v>TWO ENG DETENT REV</v>
      </c>
      <c r="C44" t="s">
        <v>69</v>
      </c>
      <c r="D44">
        <v>1</v>
      </c>
      <c r="F44" s="84"/>
      <c r="G44" s="84"/>
      <c r="H44" s="84"/>
      <c r="I44" s="84"/>
      <c r="J44" s="85"/>
      <c r="K44" s="86" t="s">
        <v>67</v>
      </c>
      <c r="L44" s="87"/>
      <c r="M44" s="87"/>
      <c r="N44" s="87"/>
      <c r="O44" s="87"/>
      <c r="P44" s="87"/>
      <c r="Q44" s="87"/>
      <c r="R44" s="87"/>
      <c r="S44" s="88"/>
    </row>
    <row r="45" spans="1:27" ht="15.75" x14ac:dyDescent="0.25">
      <c r="A45" t="s">
        <v>87</v>
      </c>
      <c r="B45">
        <f>IF(B44="NO REVERSE",1,2)</f>
        <v>2</v>
      </c>
      <c r="C45" t="s">
        <v>75</v>
      </c>
      <c r="D45">
        <v>2</v>
      </c>
      <c r="F45" s="89" t="s">
        <v>68</v>
      </c>
      <c r="G45" s="90"/>
      <c r="H45" s="90"/>
      <c r="I45" s="90"/>
      <c r="J45" s="91"/>
      <c r="K45" s="39">
        <v>10</v>
      </c>
      <c r="L45" s="39">
        <v>20</v>
      </c>
      <c r="M45" s="39">
        <v>30</v>
      </c>
      <c r="N45" s="39">
        <v>40</v>
      </c>
      <c r="O45" s="39">
        <v>50</v>
      </c>
      <c r="P45" s="39">
        <v>60</v>
      </c>
      <c r="Q45" s="39">
        <v>70</v>
      </c>
      <c r="R45" s="39">
        <v>80</v>
      </c>
      <c r="S45" s="44">
        <v>90</v>
      </c>
    </row>
    <row r="46" spans="1:27" ht="15.75" x14ac:dyDescent="0.25">
      <c r="A46" t="s">
        <v>89</v>
      </c>
      <c r="B46">
        <f>MATCH(B43,C44:C49,0)</f>
        <v>4</v>
      </c>
      <c r="C46" t="s">
        <v>83</v>
      </c>
      <c r="D46">
        <v>3</v>
      </c>
      <c r="F46" s="86" t="s">
        <v>69</v>
      </c>
      <c r="G46" s="87"/>
      <c r="H46" s="87"/>
      <c r="I46" s="87"/>
      <c r="J46" s="92"/>
      <c r="K46" s="39">
        <f>IF($B$45=1,'Data - Events'!F3,'Data - Events'!F14)</f>
        <v>10</v>
      </c>
      <c r="L46" s="39">
        <f>IF($B$45=1,'Data - Events'!G3,'Data - Events'!G14)</f>
        <v>20</v>
      </c>
      <c r="M46" s="39">
        <f>IF($B$45=1,'Data - Events'!H3,'Data - Events'!H14)</f>
        <v>30</v>
      </c>
      <c r="N46" s="39">
        <f>IF($B$45=1,'Data - Events'!I3,'Data - Events'!I14)</f>
        <v>40</v>
      </c>
      <c r="O46" s="39">
        <f>IF($B$45=1,'Data - Events'!J3,'Data - Events'!J14)</f>
        <v>50</v>
      </c>
      <c r="P46" s="39">
        <f>IF($B$45=1,'Data - Events'!K3,'Data - Events'!K14)</f>
        <v>60</v>
      </c>
      <c r="Q46" s="39">
        <f>IF($B$45=1,'Data - Events'!L3,'Data - Events'!L14)</f>
        <v>70</v>
      </c>
      <c r="R46" s="39">
        <f>IF($B$45=1,'Data - Events'!M3,'Data - Events'!M14)</f>
        <v>80</v>
      </c>
      <c r="S46" s="44">
        <f>IF($B$45=1,'Data - Events'!N3,'Data - Events'!N14)</f>
        <v>90</v>
      </c>
    </row>
    <row r="47" spans="1:27" ht="15.75" x14ac:dyDescent="0.25">
      <c r="C47" s="43" t="s">
        <v>74</v>
      </c>
      <c r="D47">
        <v>4</v>
      </c>
      <c r="F47" s="93" t="s">
        <v>70</v>
      </c>
      <c r="G47" s="96" t="s">
        <v>71</v>
      </c>
      <c r="H47" s="97"/>
      <c r="I47" s="97"/>
      <c r="J47" s="98"/>
      <c r="K47" s="39">
        <f>IF($B$45=1,'Data - Events'!F4,'Data - Events'!F15)</f>
        <v>7</v>
      </c>
      <c r="L47" s="39">
        <f>IF($B$45=1,'Data - Events'!G4,'Data - Events'!G15)</f>
        <v>14.6</v>
      </c>
      <c r="M47" s="39">
        <f>IF($B$45=1,'Data - Events'!H4,'Data - Events'!H15)</f>
        <v>22.8</v>
      </c>
      <c r="N47" s="39">
        <f>IF($B$45=1,'Data - Events'!I4,'Data - Events'!I15)</f>
        <v>31.4</v>
      </c>
      <c r="O47" s="39">
        <f>IF($B$45=1,'Data - Events'!J4,'Data - Events'!J15)</f>
        <v>40.5</v>
      </c>
      <c r="P47" s="39">
        <f>IF($B$45=1,'Data - Events'!K4,'Data - Events'!K15)</f>
        <v>49.9</v>
      </c>
      <c r="Q47" s="39">
        <f>IF($B$45=1,'Data - Events'!L4,'Data - Events'!L15)</f>
        <v>59.7</v>
      </c>
      <c r="R47" s="39">
        <f>IF($B$45=1,'Data - Events'!M4,'Data - Events'!M15)</f>
        <v>69.8</v>
      </c>
      <c r="S47" s="44">
        <f>IF($B$45=1,'Data - Events'!N4,'Data - Events'!N15)</f>
        <v>80</v>
      </c>
    </row>
    <row r="48" spans="1:27" ht="15.75" x14ac:dyDescent="0.25">
      <c r="A48" t="s">
        <v>92</v>
      </c>
      <c r="B48">
        <f>MATCH(B39,K53:S53)</f>
        <v>3</v>
      </c>
      <c r="C48" t="s">
        <v>84</v>
      </c>
      <c r="D48">
        <v>5</v>
      </c>
      <c r="F48" s="94"/>
      <c r="G48" s="99"/>
      <c r="H48" s="84"/>
      <c r="I48" s="84"/>
      <c r="J48" s="85"/>
      <c r="K48" s="39">
        <f>IF($B$45=1,'Data - Events'!F5,'Data - Events'!F16)</f>
        <v>5.8</v>
      </c>
      <c r="L48" s="39">
        <f>IF($B$45=1,'Data - Events'!G5,'Data - Events'!G16)</f>
        <v>12.3</v>
      </c>
      <c r="M48" s="39">
        <f>IF($B$45=1,'Data - Events'!H5,'Data - Events'!H16)</f>
        <v>19.5</v>
      </c>
      <c r="N48" s="39">
        <f>IF($B$45=1,'Data - Events'!I5,'Data - Events'!I16)</f>
        <v>27.2</v>
      </c>
      <c r="O48" s="39">
        <f>IF($B$45=1,'Data - Events'!J5,'Data - Events'!J16)</f>
        <v>35.6</v>
      </c>
      <c r="P48" s="39">
        <f>IF($B$45=1,'Data - Events'!K5,'Data - Events'!K16)</f>
        <v>44.5</v>
      </c>
      <c r="Q48" s="39">
        <f>IF($B$45=1,'Data - Events'!L5,'Data - Events'!L16)</f>
        <v>53.9</v>
      </c>
      <c r="R48" s="39">
        <f>IF($B$45=1,'Data - Events'!M5,'Data - Events'!M16)</f>
        <v>63.7</v>
      </c>
      <c r="S48" s="44">
        <f>IF($B$45=1,'Data - Events'!N5,'Data - Events'!N16)</f>
        <v>74.099999999999994</v>
      </c>
    </row>
    <row r="49" spans="1:19" ht="15.75" x14ac:dyDescent="0.25">
      <c r="A49" t="s">
        <v>95</v>
      </c>
      <c r="B49">
        <f>INDEX(K53:S53,1,B48)</f>
        <v>30</v>
      </c>
      <c r="C49" t="s">
        <v>85</v>
      </c>
      <c r="D49">
        <v>6</v>
      </c>
      <c r="F49" s="94"/>
      <c r="G49" s="96" t="s">
        <v>72</v>
      </c>
      <c r="H49" s="97"/>
      <c r="I49" s="97"/>
      <c r="J49" s="98"/>
      <c r="K49" s="39">
        <f>IF($B$45=1,'Data - Events'!F6,'Data - Events'!F17)</f>
        <v>4.3</v>
      </c>
      <c r="L49" s="39">
        <f>IF($B$45=1,'Data - Events'!G6,'Data - Events'!G17)</f>
        <v>9.1999999999999993</v>
      </c>
      <c r="M49" s="39">
        <f>IF($B$45=1,'Data - Events'!H6,'Data - Events'!H17)</f>
        <v>14.7</v>
      </c>
      <c r="N49" s="39">
        <f>IF($B$45=1,'Data - Events'!I6,'Data - Events'!I17)</f>
        <v>20.7</v>
      </c>
      <c r="O49" s="39">
        <f>IF($B$45=1,'Data - Events'!J6,'Data - Events'!J17)</f>
        <v>27.2</v>
      </c>
      <c r="P49" s="39">
        <f>IF($B$45=1,'Data - Events'!K6,'Data - Events'!K17)</f>
        <v>34.4</v>
      </c>
      <c r="Q49" s="39">
        <f>IF($B$45=1,'Data - Events'!L6,'Data - Events'!L17)</f>
        <v>42</v>
      </c>
      <c r="R49" s="39">
        <f>IF($B$45=1,'Data - Events'!M6,'Data - Events'!M17)</f>
        <v>50.2</v>
      </c>
      <c r="S49" s="44">
        <f>IF($B$45=1,'Data - Events'!N6,'Data - Events'!N17)</f>
        <v>59</v>
      </c>
    </row>
    <row r="50" spans="1:19" ht="15.75" x14ac:dyDescent="0.25">
      <c r="A50" t="s">
        <v>96</v>
      </c>
      <c r="B50">
        <f>INDEX(K53:S53,1,B48+1)</f>
        <v>40</v>
      </c>
      <c r="F50" s="94"/>
      <c r="G50" s="100"/>
      <c r="H50" s="101"/>
      <c r="I50" s="101"/>
      <c r="J50" s="102"/>
      <c r="K50" s="39">
        <f>IF($B$45=1,'Data - Events'!F7,'Data - Events'!F18)</f>
        <v>2.5</v>
      </c>
      <c r="L50" s="39">
        <f>IF($B$45=1,'Data - Events'!G7,'Data - Events'!G18)</f>
        <v>5.6</v>
      </c>
      <c r="M50" s="39">
        <f>IF($B$45=1,'Data - Events'!H7,'Data - Events'!H18)</f>
        <v>9.1</v>
      </c>
      <c r="N50" s="39">
        <f>IF($B$45=1,'Data - Events'!I7,'Data - Events'!I18)</f>
        <v>13.1</v>
      </c>
      <c r="O50" s="39">
        <f>IF($B$45=1,'Data - Events'!J7,'Data - Events'!J18)</f>
        <v>17.8</v>
      </c>
      <c r="P50" s="39">
        <f>IF($B$45=1,'Data - Events'!K7,'Data - Events'!K18)</f>
        <v>23</v>
      </c>
      <c r="Q50" s="39">
        <f>IF($B$45=1,'Data - Events'!L7,'Data - Events'!L18)</f>
        <v>28.8</v>
      </c>
      <c r="R50" s="39">
        <f>IF($B$45=1,'Data - Events'!M7,'Data - Events'!M18)</f>
        <v>35.200000000000003</v>
      </c>
      <c r="S50" s="44">
        <f>IF($B$45=1,'Data - Events'!N7,'Data - Events'!N18)</f>
        <v>42.3</v>
      </c>
    </row>
    <row r="51" spans="1:19" ht="15.75" x14ac:dyDescent="0.25">
      <c r="A51" t="s">
        <v>97</v>
      </c>
      <c r="B51">
        <f>1-((B39-B49)/(B50-B49))</f>
        <v>0.28734999999999999</v>
      </c>
      <c r="F51" s="95"/>
      <c r="G51" s="99"/>
      <c r="H51" s="84"/>
      <c r="I51" s="84"/>
      <c r="J51" s="85"/>
      <c r="K51" s="39">
        <f>IF($B$45=1,'Data - Events'!F8,'Data - Events'!F19)</f>
        <v>1.8</v>
      </c>
      <c r="L51" s="39">
        <f>IF($B$45=1,'Data - Events'!G8,'Data - Events'!G19)</f>
        <v>3.8</v>
      </c>
      <c r="M51" s="39">
        <f>IF($B$45=1,'Data - Events'!H8,'Data - Events'!H19)</f>
        <v>6.1</v>
      </c>
      <c r="N51" s="39">
        <f>IF($B$45=1,'Data - Events'!I8,'Data - Events'!I19)</f>
        <v>8.8000000000000007</v>
      </c>
      <c r="O51" s="39">
        <f>IF($B$45=1,'Data - Events'!J8,'Data - Events'!J19)</f>
        <v>11.9</v>
      </c>
      <c r="P51" s="39">
        <f>IF($B$45=1,'Data - Events'!K8,'Data - Events'!K19)</f>
        <v>15.5</v>
      </c>
      <c r="Q51" s="39">
        <f>IF($B$45=1,'Data - Events'!L8,'Data - Events'!L19)</f>
        <v>19.600000000000001</v>
      </c>
      <c r="R51" s="39">
        <f>IF($B$45=1,'Data - Events'!M8,'Data - Events'!M19)</f>
        <v>24.4</v>
      </c>
      <c r="S51" s="44">
        <f>IF($B$45=1,'Data - Events'!N8,'Data - Events'!N19)</f>
        <v>29.8</v>
      </c>
    </row>
    <row r="52" spans="1:19" x14ac:dyDescent="0.25">
      <c r="A52" t="s">
        <v>93</v>
      </c>
      <c r="B52">
        <f>INDEX(K54:S54,1,B48)</f>
        <v>14.7</v>
      </c>
    </row>
    <row r="53" spans="1:19" ht="15.75" x14ac:dyDescent="0.25">
      <c r="A53" t="s">
        <v>94</v>
      </c>
      <c r="B53">
        <f>INDEX(K54:S54,1,B48+1)</f>
        <v>20.7</v>
      </c>
      <c r="F53" t="s">
        <v>91</v>
      </c>
      <c r="K53" s="39">
        <v>10</v>
      </c>
      <c r="L53" s="39">
        <v>20</v>
      </c>
      <c r="M53" s="39">
        <v>30</v>
      </c>
      <c r="N53" s="39">
        <v>40</v>
      </c>
      <c r="O53" s="39">
        <v>50</v>
      </c>
      <c r="P53" s="39">
        <v>60</v>
      </c>
      <c r="Q53" s="39">
        <v>70</v>
      </c>
      <c r="R53" s="39">
        <v>80</v>
      </c>
      <c r="S53" s="44">
        <v>90</v>
      </c>
    </row>
    <row r="54" spans="1:19" x14ac:dyDescent="0.25">
      <c r="A54" t="s">
        <v>124</v>
      </c>
      <c r="B54" s="16">
        <f>(B52*B51)+((1-B51)*B53)+Taxi_miles</f>
        <v>21.975899999999999</v>
      </c>
      <c r="C54" s="68" t="s">
        <v>165</v>
      </c>
      <c r="F54" t="s">
        <v>90</v>
      </c>
      <c r="K54">
        <f>INDEX(K46:K51,$B$46)</f>
        <v>4.3</v>
      </c>
      <c r="L54">
        <f t="shared" ref="L54:S54" si="8">INDEX(L46:L51,$B$46)</f>
        <v>9.1999999999999993</v>
      </c>
      <c r="M54">
        <f t="shared" si="8"/>
        <v>14.7</v>
      </c>
      <c r="N54">
        <f t="shared" si="8"/>
        <v>20.7</v>
      </c>
      <c r="O54">
        <f t="shared" si="8"/>
        <v>27.2</v>
      </c>
      <c r="P54">
        <f t="shared" si="8"/>
        <v>34.4</v>
      </c>
      <c r="Q54">
        <f t="shared" si="8"/>
        <v>42</v>
      </c>
      <c r="R54">
        <f t="shared" si="8"/>
        <v>50.2</v>
      </c>
      <c r="S54">
        <f t="shared" si="8"/>
        <v>59</v>
      </c>
    </row>
    <row r="57" spans="1:19" x14ac:dyDescent="0.25">
      <c r="A57" t="s">
        <v>119</v>
      </c>
      <c r="D57" t="s">
        <v>120</v>
      </c>
    </row>
    <row r="58" spans="1:19" x14ac:dyDescent="0.25">
      <c r="A58" t="s">
        <v>123</v>
      </c>
      <c r="B58" t="str">
        <f>Type_of_brakes</f>
        <v>Category C Steel Brakes</v>
      </c>
      <c r="D58" t="s">
        <v>121</v>
      </c>
    </row>
    <row r="59" spans="1:19" x14ac:dyDescent="0.25">
      <c r="D59" t="s">
        <v>122</v>
      </c>
    </row>
    <row r="60" spans="1:19" x14ac:dyDescent="0.25">
      <c r="A60" t="s">
        <v>125</v>
      </c>
    </row>
    <row r="61" spans="1:19" x14ac:dyDescent="0.25">
      <c r="A61" t="s">
        <v>126</v>
      </c>
      <c r="B61">
        <f>MATCH($B$54,'Data - cooling time'!C3:H3)</f>
        <v>2</v>
      </c>
      <c r="D61" t="s">
        <v>134</v>
      </c>
    </row>
    <row r="62" spans="1:19" x14ac:dyDescent="0.25">
      <c r="A62" t="s">
        <v>95</v>
      </c>
      <c r="B62">
        <f>INDEX('Data - cooling time'!C3:H3,1,Calculations!$B$61)</f>
        <v>20</v>
      </c>
      <c r="D62" t="s">
        <v>108</v>
      </c>
    </row>
    <row r="63" spans="1:19" x14ac:dyDescent="0.25">
      <c r="A63" t="s">
        <v>96</v>
      </c>
      <c r="B63">
        <f>INDEX('Data - cooling time'!C3:H3,1,Calculations!$B$61+1)</f>
        <v>23</v>
      </c>
      <c r="D63" t="s">
        <v>109</v>
      </c>
    </row>
    <row r="64" spans="1:19" x14ac:dyDescent="0.25">
      <c r="A64" t="s">
        <v>127</v>
      </c>
      <c r="B64">
        <f>INDEX('Data - cooling time'!C6:H6,1,Calculations!$B$61)</f>
        <v>2</v>
      </c>
      <c r="D64" t="s">
        <v>110</v>
      </c>
    </row>
    <row r="65" spans="1:2" x14ac:dyDescent="0.25">
      <c r="A65" t="s">
        <v>128</v>
      </c>
      <c r="B65">
        <f>INDEX('Data - cooling time'!C6:H6,1,Calculations!$B$61+1)</f>
        <v>3</v>
      </c>
    </row>
    <row r="66" spans="1:2" x14ac:dyDescent="0.25">
      <c r="A66" t="s">
        <v>129</v>
      </c>
      <c r="B66">
        <f>INDEX('Data - cooling time'!C7:H7,1,Calculations!$B$61)</f>
        <v>20</v>
      </c>
    </row>
    <row r="67" spans="1:2" x14ac:dyDescent="0.25">
      <c r="A67" t="s">
        <v>130</v>
      </c>
      <c r="B67">
        <f>INDEX('Data - cooling time'!C7:H7,1,Calculations!$B$61+1)</f>
        <v>30</v>
      </c>
    </row>
    <row r="68" spans="1:2" x14ac:dyDescent="0.25">
      <c r="A68" t="s">
        <v>97</v>
      </c>
      <c r="B68">
        <f>1-((B54-B62)/(B63-B62))</f>
        <v>0.34136666666666693</v>
      </c>
    </row>
    <row r="69" spans="1:2" x14ac:dyDescent="0.25">
      <c r="A69" t="s">
        <v>131</v>
      </c>
      <c r="B69">
        <f>B64*B68+(1-B68)*B65</f>
        <v>2.6586333333333334</v>
      </c>
    </row>
    <row r="70" spans="1:2" x14ac:dyDescent="0.25">
      <c r="A70" t="s">
        <v>132</v>
      </c>
      <c r="B70">
        <f>B68*B66+(1-B68)*B67</f>
        <v>26.586333333333332</v>
      </c>
    </row>
    <row r="71" spans="1:2" x14ac:dyDescent="0.25">
      <c r="A71" t="s">
        <v>133</v>
      </c>
      <c r="B71">
        <f>IF($B$54&lt;17,$D$62,IF(AND($B$54&gt;=32,$B$54&lt;48),$D$63,IF($B$54&gt;=48,$D$64,B69)))</f>
        <v>2.6586333333333334</v>
      </c>
    </row>
    <row r="72" spans="1:2" x14ac:dyDescent="0.25">
      <c r="A72" t="s">
        <v>135</v>
      </c>
      <c r="B72">
        <f>IF($B$54&lt;17,$D$62,IF(AND($B$54&gt;=32,$B$54&lt;48),$D$63,IF($B$54&gt;=48,$D$64,B70)))</f>
        <v>26.586333333333332</v>
      </c>
    </row>
    <row r="74" spans="1:2" x14ac:dyDescent="0.25">
      <c r="A74" t="s">
        <v>136</v>
      </c>
    </row>
    <row r="75" spans="1:2" x14ac:dyDescent="0.25">
      <c r="A75" t="s">
        <v>126</v>
      </c>
      <c r="B75">
        <f>MATCH($B$54,'Data - cooling time'!C12:G12)</f>
        <v>3</v>
      </c>
    </row>
    <row r="76" spans="1:2" x14ac:dyDescent="0.25">
      <c r="A76" t="s">
        <v>95</v>
      </c>
      <c r="B76">
        <f>INDEX('Data - cooling time'!C12:G12,1,Calculations!$B$75)</f>
        <v>20.9</v>
      </c>
    </row>
    <row r="77" spans="1:2" x14ac:dyDescent="0.25">
      <c r="A77" t="s">
        <v>96</v>
      </c>
      <c r="B77">
        <f>INDEX('Data - cooling time'!C12:G12,1,Calculations!$B$75+1)</f>
        <v>23.5</v>
      </c>
    </row>
    <row r="78" spans="1:2" x14ac:dyDescent="0.25">
      <c r="A78" t="s">
        <v>127</v>
      </c>
      <c r="B78">
        <f>INDEX('Data - cooling time'!C15:G15,1,Calculations!$B$75)</f>
        <v>5</v>
      </c>
    </row>
    <row r="79" spans="1:2" x14ac:dyDescent="0.25">
      <c r="A79" t="s">
        <v>128</v>
      </c>
      <c r="B79">
        <f>INDEX('Data - cooling time'!C15:G15,1,Calculations!$B$75+1)</f>
        <v>6</v>
      </c>
    </row>
    <row r="80" spans="1:2" x14ac:dyDescent="0.25">
      <c r="A80" t="s">
        <v>129</v>
      </c>
      <c r="B80">
        <f>INDEX('Data - cooling time'!C16:G16,1,Calculations!$B$75)</f>
        <v>24.1</v>
      </c>
    </row>
    <row r="81" spans="1:2" x14ac:dyDescent="0.25">
      <c r="A81" t="s">
        <v>130</v>
      </c>
      <c r="B81">
        <f>INDEX('Data - cooling time'!C16:G16,1,Calculations!$B$75+1)</f>
        <v>34.200000000000003</v>
      </c>
    </row>
    <row r="82" spans="1:2" x14ac:dyDescent="0.25">
      <c r="A82" t="s">
        <v>97</v>
      </c>
      <c r="B82">
        <f>1-((B54-B76)/(B77-B76))</f>
        <v>0.58619230769230768</v>
      </c>
    </row>
    <row r="83" spans="1:2" x14ac:dyDescent="0.25">
      <c r="A83" t="s">
        <v>131</v>
      </c>
      <c r="B83">
        <f>B78*B82+(1-B82)*B79</f>
        <v>5.4138076923076923</v>
      </c>
    </row>
    <row r="84" spans="1:2" x14ac:dyDescent="0.25">
      <c r="A84" t="s">
        <v>132</v>
      </c>
      <c r="B84">
        <f>B82*B80+(1-B82)*B81</f>
        <v>28.279457692307695</v>
      </c>
    </row>
    <row r="85" spans="1:2" x14ac:dyDescent="0.25">
      <c r="A85" t="s">
        <v>140</v>
      </c>
      <c r="B85">
        <f>IF($B$54&lt;17,$D$62,IF(AND($B$54&gt;=32,$B$54&lt;48),$D$63,IF($B$54&gt;=48,$D$64,B83)))</f>
        <v>5.4138076923076923</v>
      </c>
    </row>
    <row r="86" spans="1:2" x14ac:dyDescent="0.25">
      <c r="A86" t="s">
        <v>141</v>
      </c>
      <c r="B86">
        <f>IF($B$54&lt;17,$D$62,IF(AND($B$54&gt;=32,$B$54&lt;48),$D$63,IF($B$54&gt;=48,$D$64,B84)))</f>
        <v>28.279457692307695</v>
      </c>
    </row>
    <row r="88" spans="1:2" x14ac:dyDescent="0.25">
      <c r="A88" s="16" t="s">
        <v>142</v>
      </c>
      <c r="B88" s="16">
        <f>IF(Type_of_brakes=D58,B71,B85)</f>
        <v>2.6586333333333334</v>
      </c>
    </row>
    <row r="89" spans="1:2" x14ac:dyDescent="0.25">
      <c r="A89" s="16" t="s">
        <v>143</v>
      </c>
      <c r="B89" s="16">
        <f>IF(Type_of_brakes=D58,B72,B86)</f>
        <v>26.586333333333332</v>
      </c>
    </row>
    <row r="91" spans="1:2" x14ac:dyDescent="0.25">
      <c r="A91" t="s">
        <v>147</v>
      </c>
    </row>
    <row r="92" spans="1:2" x14ac:dyDescent="0.25">
      <c r="A92" t="s">
        <v>148</v>
      </c>
      <c r="B92" t="str">
        <f>Using_brake_monitor</f>
        <v>NO</v>
      </c>
    </row>
    <row r="93" spans="1:2" x14ac:dyDescent="0.25">
      <c r="A93" t="s">
        <v>146</v>
      </c>
      <c r="B93">
        <f>Brake_monitor_temp</f>
        <v>3.5</v>
      </c>
    </row>
    <row r="95" spans="1:2" x14ac:dyDescent="0.25">
      <c r="A95" t="s">
        <v>149</v>
      </c>
    </row>
    <row r="96" spans="1:2" x14ac:dyDescent="0.25">
      <c r="A96" t="s">
        <v>154</v>
      </c>
      <c r="B96">
        <f>MATCH($B$93,'Data - cooling time'!$C$5:$H$5)</f>
        <v>3</v>
      </c>
    </row>
    <row r="97" spans="1:2" x14ac:dyDescent="0.25">
      <c r="A97" t="s">
        <v>95</v>
      </c>
      <c r="B97">
        <f>INDEX('Data - cooling time'!$C$5:$H$5,1,Calculations!$B$96)</f>
        <v>3.5</v>
      </c>
    </row>
    <row r="98" spans="1:2" x14ac:dyDescent="0.25">
      <c r="A98" t="s">
        <v>96</v>
      </c>
      <c r="B98">
        <f>INDEX('Data - cooling time'!$C$5:$H$5,1,Calculations!$B$96+1)</f>
        <v>3.9</v>
      </c>
    </row>
    <row r="99" spans="1:2" x14ac:dyDescent="0.25">
      <c r="A99" t="s">
        <v>150</v>
      </c>
      <c r="B99">
        <f>INDEX('Data - cooling time'!$C$6:$H$6,1,Calculations!$B$96)</f>
        <v>3</v>
      </c>
    </row>
    <row r="100" spans="1:2" x14ac:dyDescent="0.25">
      <c r="A100" t="s">
        <v>151</v>
      </c>
      <c r="B100">
        <f>INDEX('Data - cooling time'!$C$6:$H$6,1,Calculations!$B$96+1)</f>
        <v>4</v>
      </c>
    </row>
    <row r="101" spans="1:2" x14ac:dyDescent="0.25">
      <c r="A101" t="s">
        <v>152</v>
      </c>
      <c r="B101">
        <f>INDEX('Data - cooling time'!$C$7:$H$7,1,Calculations!$B$96)</f>
        <v>30</v>
      </c>
    </row>
    <row r="102" spans="1:2" x14ac:dyDescent="0.25">
      <c r="A102" t="s">
        <v>153</v>
      </c>
      <c r="B102">
        <f>INDEX('Data - cooling time'!$C$7:$H$7,1,Calculations!$B$96+1)</f>
        <v>40</v>
      </c>
    </row>
    <row r="103" spans="1:2" x14ac:dyDescent="0.25">
      <c r="A103" t="s">
        <v>97</v>
      </c>
      <c r="B103">
        <f>1-(B93-B97)/(B98-B97)</f>
        <v>1</v>
      </c>
    </row>
    <row r="104" spans="1:2" x14ac:dyDescent="0.25">
      <c r="A104" t="s">
        <v>131</v>
      </c>
      <c r="B104">
        <f>B103*B99+(1-B103)*B100</f>
        <v>3</v>
      </c>
    </row>
    <row r="105" spans="1:2" x14ac:dyDescent="0.25">
      <c r="A105" t="s">
        <v>132</v>
      </c>
      <c r="B105">
        <f>B103*B101+(1-B103)*B102</f>
        <v>30</v>
      </c>
    </row>
    <row r="106" spans="1:2" x14ac:dyDescent="0.25">
      <c r="A106" t="s">
        <v>155</v>
      </c>
      <c r="B106">
        <f>IF($B$93&lt;2.6,$D$62,IF(AND($B$93&gt;=4.9,$B$93&lt;=7.5),$D$63,IF($B$93&gt;7.5,$D$64,B104)))</f>
        <v>3</v>
      </c>
    </row>
    <row r="107" spans="1:2" x14ac:dyDescent="0.25">
      <c r="A107" t="s">
        <v>156</v>
      </c>
      <c r="B107">
        <f>IF($B$93&lt;2.6,$D$62,IF(AND($B$93&gt;=4.9,$B$93&lt;=7.5),$D$63,IF($B$93&gt;7.5,$D$64,B105)))</f>
        <v>30</v>
      </c>
    </row>
    <row r="109" spans="1:2" x14ac:dyDescent="0.25">
      <c r="A109" t="s">
        <v>157</v>
      </c>
    </row>
    <row r="110" spans="1:2" x14ac:dyDescent="0.25">
      <c r="A110" t="s">
        <v>154</v>
      </c>
      <c r="B110">
        <f>MATCH($B$93,'Data - cooling time'!C14:G14)</f>
        <v>3</v>
      </c>
    </row>
    <row r="111" spans="1:2" x14ac:dyDescent="0.25">
      <c r="A111" t="s">
        <v>95</v>
      </c>
      <c r="B111">
        <f>INDEX('Data - cooling time'!C14:G14,1,Calculations!$B$110)</f>
        <v>3.3</v>
      </c>
    </row>
    <row r="112" spans="1:2" x14ac:dyDescent="0.25">
      <c r="A112" t="s">
        <v>96</v>
      </c>
      <c r="B112">
        <f>INDEX('Data - cooling time'!C14:G14,1,Calculations!$B$110+1)</f>
        <v>3.8</v>
      </c>
    </row>
    <row r="113" spans="1:2" x14ac:dyDescent="0.25">
      <c r="A113" t="s">
        <v>150</v>
      </c>
      <c r="B113">
        <f>INDEX('Data - cooling time'!C15:G15,1,Calculations!$B$110)</f>
        <v>5</v>
      </c>
    </row>
    <row r="114" spans="1:2" x14ac:dyDescent="0.25">
      <c r="A114" t="s">
        <v>151</v>
      </c>
      <c r="B114">
        <f>INDEX('Data - cooling time'!C15:G15,1,Calculations!$B$110+1)</f>
        <v>6</v>
      </c>
    </row>
    <row r="115" spans="1:2" x14ac:dyDescent="0.25">
      <c r="A115" t="s">
        <v>152</v>
      </c>
      <c r="B115">
        <f>INDEX('Data - cooling time'!C16:G16,1,Calculations!$B$110)</f>
        <v>24.1</v>
      </c>
    </row>
    <row r="116" spans="1:2" x14ac:dyDescent="0.25">
      <c r="A116" t="s">
        <v>153</v>
      </c>
      <c r="B116">
        <f>INDEX('Data - cooling time'!C16:G16,1,Calculations!$B$110+1)</f>
        <v>34.200000000000003</v>
      </c>
    </row>
    <row r="117" spans="1:2" x14ac:dyDescent="0.25">
      <c r="A117" t="s">
        <v>97</v>
      </c>
      <c r="B117">
        <f>1-(B93-B111)/(B112-B111)</f>
        <v>0.59999999999999964</v>
      </c>
    </row>
    <row r="118" spans="1:2" x14ac:dyDescent="0.25">
      <c r="A118" t="s">
        <v>131</v>
      </c>
      <c r="B118">
        <f>B117*B113+(1-B117)*B114</f>
        <v>5.4</v>
      </c>
    </row>
    <row r="119" spans="1:2" x14ac:dyDescent="0.25">
      <c r="A119" t="s">
        <v>132</v>
      </c>
      <c r="B119">
        <f>B117*B115+(1-B117)*B116</f>
        <v>28.140000000000008</v>
      </c>
    </row>
    <row r="120" spans="1:2" x14ac:dyDescent="0.25">
      <c r="A120" t="s">
        <v>155</v>
      </c>
      <c r="B120">
        <f>IF($B$93&lt;2.5,$D$62,IF(AND($B$93&gt;=4.5,$B$93&lt;=7.1),$D$63,IF($B$93&gt;7.1,$D$64,B118)))</f>
        <v>5.4</v>
      </c>
    </row>
    <row r="121" spans="1:2" x14ac:dyDescent="0.25">
      <c r="A121" t="s">
        <v>156</v>
      </c>
      <c r="B121">
        <f>IF($B$93&lt;2.5,$D$62,IF(AND($B$93&gt;=4.5,$B$93&lt;=7.1),$D$63,IF($B$93&gt;7.1,$D$64,B119)))</f>
        <v>28.140000000000008</v>
      </c>
    </row>
    <row r="123" spans="1:2" x14ac:dyDescent="0.25">
      <c r="A123" s="16" t="s">
        <v>158</v>
      </c>
      <c r="B123" s="16"/>
    </row>
    <row r="124" spans="1:2" x14ac:dyDescent="0.25">
      <c r="A124" s="16" t="s">
        <v>159</v>
      </c>
      <c r="B124" s="16">
        <f>IF($B$58=$D$58,B106,B120)</f>
        <v>3</v>
      </c>
    </row>
    <row r="125" spans="1:2" x14ac:dyDescent="0.25">
      <c r="A125" s="16" t="s">
        <v>160</v>
      </c>
      <c r="B125" s="16">
        <f>IF($B$58=$D$58,B107,B121)</f>
        <v>30</v>
      </c>
    </row>
    <row r="127" spans="1:2" x14ac:dyDescent="0.25">
      <c r="A127" s="16" t="s">
        <v>161</v>
      </c>
    </row>
    <row r="128" spans="1:2" x14ac:dyDescent="0.25">
      <c r="A128" s="16" t="s">
        <v>162</v>
      </c>
      <c r="B128">
        <f>IF($B$92="YES",B124,B88)</f>
        <v>2.6586333333333334</v>
      </c>
    </row>
    <row r="129" spans="1:2" x14ac:dyDescent="0.25">
      <c r="A129" s="16" t="s">
        <v>160</v>
      </c>
      <c r="B129">
        <f>IF($B$92="YES",B125,B89)</f>
        <v>26.586333333333332</v>
      </c>
    </row>
  </sheetData>
  <mergeCells count="7">
    <mergeCell ref="F44:J44"/>
    <mergeCell ref="K44:S44"/>
    <mergeCell ref="F45:J45"/>
    <mergeCell ref="F46:J46"/>
    <mergeCell ref="F47:F51"/>
    <mergeCell ref="G47:J48"/>
    <mergeCell ref="G49:J5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T40"/>
  <sheetViews>
    <sheetView workbookViewId="0">
      <selection activeCell="B54" sqref="B54"/>
    </sheetView>
  </sheetViews>
  <sheetFormatPr defaultRowHeight="15" x14ac:dyDescent="0.25"/>
  <cols>
    <col min="1" max="1" width="11.42578125" customWidth="1"/>
    <col min="2" max="2" width="8.42578125" bestFit="1" customWidth="1"/>
    <col min="3" max="20" width="4.5703125" style="13" bestFit="1" customWidth="1"/>
  </cols>
  <sheetData>
    <row r="1" spans="1:20" x14ac:dyDescent="0.25">
      <c r="A1" s="1" t="s">
        <v>0</v>
      </c>
      <c r="B1" s="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x14ac:dyDescent="0.25">
      <c r="A2" s="103"/>
      <c r="B2" s="104"/>
      <c r="C2" s="107" t="s">
        <v>1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9"/>
    </row>
    <row r="3" spans="1:20" x14ac:dyDescent="0.25">
      <c r="A3" s="105"/>
      <c r="B3" s="106"/>
      <c r="C3" s="17">
        <v>80</v>
      </c>
      <c r="D3" s="17">
        <v>80</v>
      </c>
      <c r="E3" s="17">
        <v>80</v>
      </c>
      <c r="F3" s="17">
        <v>100</v>
      </c>
      <c r="G3" s="17">
        <v>100</v>
      </c>
      <c r="H3" s="17">
        <v>100</v>
      </c>
      <c r="I3" s="17">
        <v>120</v>
      </c>
      <c r="J3" s="17">
        <v>120</v>
      </c>
      <c r="K3" s="17">
        <v>120</v>
      </c>
      <c r="L3" s="17">
        <v>140</v>
      </c>
      <c r="M3" s="17">
        <v>140</v>
      </c>
      <c r="N3" s="17">
        <v>140</v>
      </c>
      <c r="O3" s="17">
        <v>160</v>
      </c>
      <c r="P3" s="17">
        <v>160</v>
      </c>
      <c r="Q3" s="17">
        <v>160</v>
      </c>
      <c r="R3" s="17">
        <v>180</v>
      </c>
      <c r="S3" s="17">
        <v>180</v>
      </c>
      <c r="T3" s="17">
        <v>180</v>
      </c>
    </row>
    <row r="4" spans="1:20" x14ac:dyDescent="0.25">
      <c r="A4" s="116" t="s">
        <v>2</v>
      </c>
      <c r="B4" s="116" t="s">
        <v>3</v>
      </c>
      <c r="C4" s="118" t="s">
        <v>4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/>
    </row>
    <row r="5" spans="1:20" x14ac:dyDescent="0.25">
      <c r="A5" s="117"/>
      <c r="B5" s="117"/>
      <c r="C5" s="14">
        <v>0</v>
      </c>
      <c r="D5" s="14">
        <v>5</v>
      </c>
      <c r="E5" s="15">
        <v>10</v>
      </c>
      <c r="F5" s="14">
        <v>0</v>
      </c>
      <c r="G5" s="14">
        <v>5</v>
      </c>
      <c r="H5" s="15">
        <v>10</v>
      </c>
      <c r="I5" s="14">
        <v>0</v>
      </c>
      <c r="J5" s="14">
        <v>5</v>
      </c>
      <c r="K5" s="15">
        <v>10</v>
      </c>
      <c r="L5" s="14">
        <v>0</v>
      </c>
      <c r="M5" s="14">
        <v>5</v>
      </c>
      <c r="N5" s="15">
        <v>10</v>
      </c>
      <c r="O5" s="14">
        <v>0</v>
      </c>
      <c r="P5" s="14">
        <v>5</v>
      </c>
      <c r="Q5" s="15">
        <v>10</v>
      </c>
      <c r="R5" s="14">
        <v>0</v>
      </c>
      <c r="S5" s="14">
        <v>5</v>
      </c>
      <c r="T5" s="15">
        <v>10</v>
      </c>
    </row>
    <row r="6" spans="1:20" x14ac:dyDescent="0.25">
      <c r="A6" s="113">
        <v>80</v>
      </c>
      <c r="B6" s="3">
        <v>0</v>
      </c>
      <c r="C6" s="9">
        <v>15.1</v>
      </c>
      <c r="D6" s="9">
        <v>17</v>
      </c>
      <c r="E6" s="9">
        <v>19.3</v>
      </c>
      <c r="F6" s="9">
        <v>22.4</v>
      </c>
      <c r="G6" s="9">
        <v>25.3</v>
      </c>
      <c r="H6" s="9">
        <v>28.9</v>
      </c>
      <c r="I6" s="9">
        <v>30.9</v>
      </c>
      <c r="J6" s="9">
        <v>35</v>
      </c>
      <c r="K6" s="9">
        <v>40.200000000000003</v>
      </c>
      <c r="L6" s="9">
        <v>40.4</v>
      </c>
      <c r="M6" s="9">
        <v>45.9</v>
      </c>
      <c r="N6" s="9">
        <v>53</v>
      </c>
      <c r="O6" s="9">
        <v>50.8</v>
      </c>
      <c r="P6" s="9">
        <v>57.9</v>
      </c>
      <c r="Q6" s="9">
        <v>67.3</v>
      </c>
      <c r="R6" s="9">
        <v>60.8</v>
      </c>
      <c r="S6" s="9">
        <v>69.599999999999994</v>
      </c>
      <c r="T6" s="9">
        <v>81.2</v>
      </c>
    </row>
    <row r="7" spans="1:20" x14ac:dyDescent="0.25">
      <c r="A7" s="114"/>
      <c r="B7" s="4">
        <v>10</v>
      </c>
      <c r="C7" s="10">
        <v>15.6</v>
      </c>
      <c r="D7" s="10">
        <v>17.600000000000001</v>
      </c>
      <c r="E7" s="10">
        <v>20</v>
      </c>
      <c r="F7" s="10">
        <v>23.1</v>
      </c>
      <c r="G7" s="10">
        <v>26.1</v>
      </c>
      <c r="H7" s="10">
        <v>29.8</v>
      </c>
      <c r="I7" s="10">
        <v>31.9</v>
      </c>
      <c r="J7" s="10">
        <v>36.200000000000003</v>
      </c>
      <c r="K7" s="10">
        <v>41.5</v>
      </c>
      <c r="L7" s="10">
        <v>41.8</v>
      </c>
      <c r="M7" s="10">
        <v>47.5</v>
      </c>
      <c r="N7" s="10">
        <v>54.8</v>
      </c>
      <c r="O7" s="10">
        <v>52.5</v>
      </c>
      <c r="P7" s="10">
        <v>59.9</v>
      </c>
      <c r="Q7" s="10">
        <v>69.5</v>
      </c>
      <c r="R7" s="10">
        <v>62.8</v>
      </c>
      <c r="S7" s="10">
        <v>71.900000000000006</v>
      </c>
      <c r="T7" s="10">
        <v>83.9</v>
      </c>
    </row>
    <row r="8" spans="1:20" x14ac:dyDescent="0.25">
      <c r="A8" s="114"/>
      <c r="B8" s="4">
        <v>15</v>
      </c>
      <c r="C8" s="10">
        <v>15.8</v>
      </c>
      <c r="D8" s="10">
        <v>17.8</v>
      </c>
      <c r="E8" s="10">
        <v>20.2</v>
      </c>
      <c r="F8" s="10">
        <v>23.5</v>
      </c>
      <c r="G8" s="10">
        <v>26.5</v>
      </c>
      <c r="H8" s="10">
        <v>30.3</v>
      </c>
      <c r="I8" s="10">
        <v>32.4</v>
      </c>
      <c r="J8" s="10">
        <v>36.700000000000003</v>
      </c>
      <c r="K8" s="10">
        <v>42.1</v>
      </c>
      <c r="L8" s="10">
        <v>42.4</v>
      </c>
      <c r="M8" s="10">
        <v>48.2</v>
      </c>
      <c r="N8" s="10">
        <v>55.6</v>
      </c>
      <c r="O8" s="10">
        <v>53.3</v>
      </c>
      <c r="P8" s="10">
        <v>60.7</v>
      </c>
      <c r="Q8" s="10">
        <v>70.5</v>
      </c>
      <c r="R8" s="10">
        <v>63.7</v>
      </c>
      <c r="S8" s="10">
        <v>72.900000000000006</v>
      </c>
      <c r="T8" s="10">
        <v>85.1</v>
      </c>
    </row>
    <row r="9" spans="1:20" x14ac:dyDescent="0.25">
      <c r="A9" s="114"/>
      <c r="B9" s="4">
        <v>20</v>
      </c>
      <c r="C9" s="10">
        <v>16</v>
      </c>
      <c r="D9" s="10">
        <v>18.100000000000001</v>
      </c>
      <c r="E9" s="10">
        <v>20.5</v>
      </c>
      <c r="F9" s="10">
        <v>23.8</v>
      </c>
      <c r="G9" s="10">
        <v>26.9</v>
      </c>
      <c r="H9" s="10">
        <v>30.7</v>
      </c>
      <c r="I9" s="10">
        <v>32.799999999999997</v>
      </c>
      <c r="J9" s="10">
        <v>37.200000000000003</v>
      </c>
      <c r="K9" s="10">
        <v>42.7</v>
      </c>
      <c r="L9" s="10">
        <v>42.9</v>
      </c>
      <c r="M9" s="10">
        <v>48.8</v>
      </c>
      <c r="N9" s="10">
        <v>56.3</v>
      </c>
      <c r="O9" s="10">
        <v>54</v>
      </c>
      <c r="P9" s="10">
        <v>61.5</v>
      </c>
      <c r="Q9" s="10">
        <v>71.400000000000006</v>
      </c>
      <c r="R9" s="10">
        <v>64.599999999999994</v>
      </c>
      <c r="S9" s="10">
        <v>73.900000000000006</v>
      </c>
      <c r="T9" s="10">
        <v>86.2</v>
      </c>
    </row>
    <row r="10" spans="1:20" x14ac:dyDescent="0.25">
      <c r="A10" s="114"/>
      <c r="B10" s="4">
        <v>30</v>
      </c>
      <c r="C10" s="10">
        <v>16.399999999999999</v>
      </c>
      <c r="D10" s="10">
        <v>18.5</v>
      </c>
      <c r="E10" s="10">
        <v>21.1</v>
      </c>
      <c r="F10" s="10">
        <v>24.4</v>
      </c>
      <c r="G10" s="10">
        <v>27.6</v>
      </c>
      <c r="H10" s="10">
        <v>31.5</v>
      </c>
      <c r="I10" s="10">
        <v>33.700000000000003</v>
      </c>
      <c r="J10" s="10">
        <v>38.200000000000003</v>
      </c>
      <c r="K10" s="10">
        <v>43.8</v>
      </c>
      <c r="L10" s="10">
        <v>44</v>
      </c>
      <c r="M10" s="10">
        <v>50</v>
      </c>
      <c r="N10" s="10">
        <v>57.7</v>
      </c>
      <c r="O10" s="10">
        <v>55.3</v>
      </c>
      <c r="P10" s="10">
        <v>63.1</v>
      </c>
      <c r="Q10" s="10">
        <v>73.2</v>
      </c>
      <c r="R10" s="10">
        <v>66.2</v>
      </c>
      <c r="S10" s="10">
        <v>75.7</v>
      </c>
      <c r="T10" s="10">
        <v>88.4</v>
      </c>
    </row>
    <row r="11" spans="1:20" x14ac:dyDescent="0.25">
      <c r="A11" s="114"/>
      <c r="B11" s="4">
        <v>40</v>
      </c>
      <c r="C11" s="10">
        <v>16.600000000000001</v>
      </c>
      <c r="D11" s="10">
        <v>18.7</v>
      </c>
      <c r="E11" s="10">
        <v>21.3</v>
      </c>
      <c r="F11" s="10">
        <v>24.7</v>
      </c>
      <c r="G11" s="10">
        <v>27.9</v>
      </c>
      <c r="H11" s="10">
        <v>31.9</v>
      </c>
      <c r="I11" s="10">
        <v>34.1</v>
      </c>
      <c r="J11" s="10">
        <v>38.700000000000003</v>
      </c>
      <c r="K11" s="10">
        <v>44.4</v>
      </c>
      <c r="L11" s="10">
        <v>44.7</v>
      </c>
      <c r="M11" s="10">
        <v>50.9</v>
      </c>
      <c r="N11" s="10">
        <v>58.8</v>
      </c>
      <c r="O11" s="10">
        <v>56.3</v>
      </c>
      <c r="P11" s="10">
        <v>64.3</v>
      </c>
      <c r="Q11" s="10">
        <v>74.8</v>
      </c>
      <c r="R11" s="10">
        <v>67.5</v>
      </c>
      <c r="S11" s="10">
        <v>77.400000000000006</v>
      </c>
      <c r="T11" s="10">
        <v>90.5</v>
      </c>
    </row>
    <row r="12" spans="1:20" x14ac:dyDescent="0.25">
      <c r="A12" s="115"/>
      <c r="B12" s="5">
        <v>50</v>
      </c>
      <c r="C12" s="11">
        <v>16.600000000000001</v>
      </c>
      <c r="D12" s="11">
        <v>18.7</v>
      </c>
      <c r="E12" s="11">
        <v>21.3</v>
      </c>
      <c r="F12" s="11">
        <v>24.8</v>
      </c>
      <c r="G12" s="11">
        <v>28</v>
      </c>
      <c r="H12" s="11">
        <v>32.1</v>
      </c>
      <c r="I12" s="11">
        <v>34.299999999999997</v>
      </c>
      <c r="J12" s="11">
        <v>39</v>
      </c>
      <c r="K12" s="11">
        <v>44.9</v>
      </c>
      <c r="L12" s="11">
        <v>45.2</v>
      </c>
      <c r="M12" s="11">
        <v>51.5</v>
      </c>
      <c r="N12" s="11">
        <v>59.7</v>
      </c>
      <c r="O12" s="11">
        <v>57.1</v>
      </c>
      <c r="P12" s="11">
        <v>65.400000000000006</v>
      </c>
      <c r="Q12" s="11">
        <v>76.3</v>
      </c>
      <c r="R12" s="11">
        <v>68.7</v>
      </c>
      <c r="S12" s="11">
        <v>79</v>
      </c>
      <c r="T12" s="11">
        <v>92.9</v>
      </c>
    </row>
    <row r="13" spans="1:20" x14ac:dyDescent="0.25">
      <c r="A13" s="113">
        <v>70</v>
      </c>
      <c r="B13" s="3">
        <v>0</v>
      </c>
      <c r="C13" s="9">
        <v>13.7</v>
      </c>
      <c r="D13" s="9">
        <v>15.4</v>
      </c>
      <c r="E13" s="9">
        <v>17.5</v>
      </c>
      <c r="F13" s="9">
        <v>20.2</v>
      </c>
      <c r="G13" s="9">
        <v>22.8</v>
      </c>
      <c r="H13" s="9">
        <v>26</v>
      </c>
      <c r="I13" s="9">
        <v>27.7</v>
      </c>
      <c r="J13" s="9">
        <v>31.3</v>
      </c>
      <c r="K13" s="9">
        <v>35.9</v>
      </c>
      <c r="L13" s="9">
        <v>36.1</v>
      </c>
      <c r="M13" s="9">
        <v>41</v>
      </c>
      <c r="N13" s="9">
        <v>47.2</v>
      </c>
      <c r="O13" s="9">
        <v>45.3</v>
      </c>
      <c r="P13" s="9">
        <v>51.6</v>
      </c>
      <c r="Q13" s="9">
        <v>59.7</v>
      </c>
      <c r="R13" s="9">
        <v>54.9</v>
      </c>
      <c r="S13" s="9">
        <v>62.7</v>
      </c>
      <c r="T13" s="9">
        <v>72.900000000000006</v>
      </c>
    </row>
    <row r="14" spans="1:20" x14ac:dyDescent="0.25">
      <c r="A14" s="114"/>
      <c r="B14" s="4">
        <v>10</v>
      </c>
      <c r="C14" s="10">
        <v>14.2</v>
      </c>
      <c r="D14" s="10">
        <v>15.9</v>
      </c>
      <c r="E14" s="10">
        <v>18.100000000000001</v>
      </c>
      <c r="F14" s="10">
        <v>20.8</v>
      </c>
      <c r="G14" s="10">
        <v>23.5</v>
      </c>
      <c r="H14" s="10">
        <v>26.8</v>
      </c>
      <c r="I14" s="10">
        <v>28.6</v>
      </c>
      <c r="J14" s="10">
        <v>32.4</v>
      </c>
      <c r="K14" s="10">
        <v>37.1</v>
      </c>
      <c r="L14" s="10">
        <v>37.299999999999997</v>
      </c>
      <c r="M14" s="10">
        <v>42.3</v>
      </c>
      <c r="N14" s="10">
        <v>48.7</v>
      </c>
      <c r="O14" s="10">
        <v>46.8</v>
      </c>
      <c r="P14" s="10">
        <v>53.3</v>
      </c>
      <c r="Q14" s="10">
        <v>61.6</v>
      </c>
      <c r="R14" s="10">
        <v>56.7</v>
      </c>
      <c r="S14" s="10">
        <v>64.8</v>
      </c>
      <c r="T14" s="10">
        <v>75.400000000000006</v>
      </c>
    </row>
    <row r="15" spans="1:20" x14ac:dyDescent="0.25">
      <c r="A15" s="114"/>
      <c r="B15" s="4">
        <v>15</v>
      </c>
      <c r="C15" s="10">
        <v>14.4</v>
      </c>
      <c r="D15" s="10">
        <v>16.2</v>
      </c>
      <c r="E15" s="10">
        <v>18.399999999999999</v>
      </c>
      <c r="F15" s="10">
        <v>21.1</v>
      </c>
      <c r="G15" s="10">
        <v>23.9</v>
      </c>
      <c r="H15" s="10">
        <v>27.2</v>
      </c>
      <c r="I15" s="10">
        <v>29</v>
      </c>
      <c r="J15" s="10">
        <v>32.799999999999997</v>
      </c>
      <c r="K15" s="10">
        <v>37.6</v>
      </c>
      <c r="L15" s="10">
        <v>37.799999999999997</v>
      </c>
      <c r="M15" s="10">
        <v>43</v>
      </c>
      <c r="N15" s="10">
        <v>49.4</v>
      </c>
      <c r="O15" s="10">
        <v>47.5</v>
      </c>
      <c r="P15" s="10">
        <v>54</v>
      </c>
      <c r="Q15" s="10">
        <v>62.5</v>
      </c>
      <c r="R15" s="10">
        <v>57.5</v>
      </c>
      <c r="S15" s="10">
        <v>65.7</v>
      </c>
      <c r="T15" s="10">
        <v>76.400000000000006</v>
      </c>
    </row>
    <row r="16" spans="1:20" x14ac:dyDescent="0.25">
      <c r="A16" s="114"/>
      <c r="B16" s="4">
        <v>20</v>
      </c>
      <c r="C16" s="10">
        <v>14.6</v>
      </c>
      <c r="D16" s="10">
        <v>16.399999999999999</v>
      </c>
      <c r="E16" s="10">
        <v>18.600000000000001</v>
      </c>
      <c r="F16" s="10">
        <v>21.4</v>
      </c>
      <c r="G16" s="10">
        <v>24.2</v>
      </c>
      <c r="H16" s="10">
        <v>27.6</v>
      </c>
      <c r="I16" s="10">
        <v>29.4</v>
      </c>
      <c r="J16" s="10">
        <v>33.299999999999997</v>
      </c>
      <c r="K16" s="10">
        <v>38.1</v>
      </c>
      <c r="L16" s="10">
        <v>38.4</v>
      </c>
      <c r="M16" s="10">
        <v>43.5</v>
      </c>
      <c r="N16" s="10">
        <v>50.1</v>
      </c>
      <c r="O16" s="10">
        <v>48.1</v>
      </c>
      <c r="P16" s="10">
        <v>54.8</v>
      </c>
      <c r="Q16" s="10">
        <v>63.4</v>
      </c>
      <c r="R16" s="10">
        <v>58.3</v>
      </c>
      <c r="S16" s="10">
        <v>66.5</v>
      </c>
      <c r="T16" s="10">
        <v>77.400000000000006</v>
      </c>
    </row>
    <row r="17" spans="1:20" x14ac:dyDescent="0.25">
      <c r="A17" s="114"/>
      <c r="B17" s="4">
        <v>30</v>
      </c>
      <c r="C17" s="10">
        <v>14.9</v>
      </c>
      <c r="D17" s="10">
        <v>16.8</v>
      </c>
      <c r="E17" s="10">
        <v>19.100000000000001</v>
      </c>
      <c r="F17" s="10">
        <v>22</v>
      </c>
      <c r="G17" s="10">
        <v>24.8</v>
      </c>
      <c r="H17" s="10">
        <v>28.3</v>
      </c>
      <c r="I17" s="10">
        <v>30.2</v>
      </c>
      <c r="J17" s="10">
        <v>34.1</v>
      </c>
      <c r="K17" s="10">
        <v>39.1</v>
      </c>
      <c r="L17" s="10">
        <v>39.299999999999997</v>
      </c>
      <c r="M17" s="10">
        <v>44.6</v>
      </c>
      <c r="N17" s="10">
        <v>51.4</v>
      </c>
      <c r="O17" s="10">
        <v>49.3</v>
      </c>
      <c r="P17" s="10">
        <v>56.1</v>
      </c>
      <c r="Q17" s="10">
        <v>64.900000000000006</v>
      </c>
      <c r="R17" s="10">
        <v>59.8</v>
      </c>
      <c r="S17" s="10">
        <v>68.2</v>
      </c>
      <c r="T17" s="10">
        <v>79.400000000000006</v>
      </c>
    </row>
    <row r="18" spans="1:20" x14ac:dyDescent="0.25">
      <c r="A18" s="114"/>
      <c r="B18" s="4">
        <v>40</v>
      </c>
      <c r="C18" s="10">
        <v>15.1</v>
      </c>
      <c r="D18" s="10">
        <v>17</v>
      </c>
      <c r="E18" s="10">
        <v>19.3</v>
      </c>
      <c r="F18" s="10">
        <v>22.2</v>
      </c>
      <c r="G18" s="10">
        <v>25.1</v>
      </c>
      <c r="H18" s="10">
        <v>28.6</v>
      </c>
      <c r="I18" s="10">
        <v>30.5</v>
      </c>
      <c r="J18" s="10">
        <v>34.6</v>
      </c>
      <c r="K18" s="10">
        <v>39.6</v>
      </c>
      <c r="L18" s="10">
        <v>39.9</v>
      </c>
      <c r="M18" s="10">
        <v>45.3</v>
      </c>
      <c r="N18" s="10">
        <v>52.2</v>
      </c>
      <c r="O18" s="10">
        <v>50.1</v>
      </c>
      <c r="P18" s="10">
        <v>57.1</v>
      </c>
      <c r="Q18" s="10">
        <v>66.2</v>
      </c>
      <c r="R18" s="10">
        <v>60.9</v>
      </c>
      <c r="S18" s="10">
        <v>69.599999999999994</v>
      </c>
      <c r="T18" s="10">
        <v>81.2</v>
      </c>
    </row>
    <row r="19" spans="1:20" x14ac:dyDescent="0.25">
      <c r="A19" s="115"/>
      <c r="B19" s="5">
        <v>50</v>
      </c>
      <c r="C19" s="11">
        <v>15.1</v>
      </c>
      <c r="D19" s="11">
        <v>17</v>
      </c>
      <c r="E19" s="11">
        <v>19.3</v>
      </c>
      <c r="F19" s="11">
        <v>22.3</v>
      </c>
      <c r="G19" s="11">
        <v>25.2</v>
      </c>
      <c r="H19" s="11">
        <v>28.8</v>
      </c>
      <c r="I19" s="11">
        <v>30.7</v>
      </c>
      <c r="J19" s="11">
        <v>34.799999999999997</v>
      </c>
      <c r="K19" s="11">
        <v>40</v>
      </c>
      <c r="L19" s="11">
        <v>40.200000000000003</v>
      </c>
      <c r="M19" s="11">
        <v>45.8</v>
      </c>
      <c r="N19" s="11">
        <v>52.9</v>
      </c>
      <c r="O19" s="11">
        <v>50.7</v>
      </c>
      <c r="P19" s="11">
        <v>58</v>
      </c>
      <c r="Q19" s="11">
        <v>67.400000000000006</v>
      </c>
      <c r="R19" s="11">
        <v>61.8</v>
      </c>
      <c r="S19" s="11">
        <v>70.900000000000006</v>
      </c>
      <c r="T19" s="11">
        <v>83</v>
      </c>
    </row>
    <row r="20" spans="1:20" x14ac:dyDescent="0.25">
      <c r="A20" s="113">
        <v>60</v>
      </c>
      <c r="B20" s="3">
        <v>0</v>
      </c>
      <c r="C20" s="9">
        <v>12.3</v>
      </c>
      <c r="D20" s="9">
        <v>13.9</v>
      </c>
      <c r="E20" s="9">
        <v>15.7</v>
      </c>
      <c r="F20" s="9">
        <v>18</v>
      </c>
      <c r="G20" s="9">
        <v>20.3</v>
      </c>
      <c r="H20" s="9">
        <v>23.1</v>
      </c>
      <c r="I20" s="9">
        <v>24.4</v>
      </c>
      <c r="J20" s="9">
        <v>27.6</v>
      </c>
      <c r="K20" s="9">
        <v>31.6</v>
      </c>
      <c r="L20" s="9">
        <v>31.7</v>
      </c>
      <c r="M20" s="9">
        <v>35.9</v>
      </c>
      <c r="N20" s="9">
        <v>41.2</v>
      </c>
      <c r="O20" s="9">
        <v>39.6</v>
      </c>
      <c r="P20" s="9">
        <v>45</v>
      </c>
      <c r="Q20" s="9">
        <v>51.8</v>
      </c>
      <c r="R20" s="9">
        <v>48.1</v>
      </c>
      <c r="S20" s="9">
        <v>54.8</v>
      </c>
      <c r="T20" s="9">
        <v>63.5</v>
      </c>
    </row>
    <row r="21" spans="1:20" x14ac:dyDescent="0.25">
      <c r="A21" s="114"/>
      <c r="B21" s="4">
        <v>10</v>
      </c>
      <c r="C21" s="10">
        <v>12.7</v>
      </c>
      <c r="D21" s="10">
        <v>14.3</v>
      </c>
      <c r="E21" s="10">
        <v>16.3</v>
      </c>
      <c r="F21" s="10">
        <v>18.5</v>
      </c>
      <c r="G21" s="10">
        <v>20.9</v>
      </c>
      <c r="H21" s="10">
        <v>23.8</v>
      </c>
      <c r="I21" s="10">
        <v>25.2</v>
      </c>
      <c r="J21" s="10">
        <v>28.5</v>
      </c>
      <c r="K21" s="10">
        <v>32.6</v>
      </c>
      <c r="L21" s="10">
        <v>32.700000000000003</v>
      </c>
      <c r="M21" s="10">
        <v>37.1</v>
      </c>
      <c r="N21" s="10">
        <v>42.6</v>
      </c>
      <c r="O21" s="10">
        <v>40.9</v>
      </c>
      <c r="P21" s="10">
        <v>46.5</v>
      </c>
      <c r="Q21" s="10">
        <v>53.6</v>
      </c>
      <c r="R21" s="10">
        <v>49.7</v>
      </c>
      <c r="S21" s="10">
        <v>56.6</v>
      </c>
      <c r="T21" s="10">
        <v>65.599999999999994</v>
      </c>
    </row>
    <row r="22" spans="1:20" x14ac:dyDescent="0.25">
      <c r="A22" s="114"/>
      <c r="B22" s="4">
        <v>15</v>
      </c>
      <c r="C22" s="10">
        <v>12.9</v>
      </c>
      <c r="D22" s="10">
        <v>14.6</v>
      </c>
      <c r="E22" s="10">
        <v>16.5</v>
      </c>
      <c r="F22" s="10">
        <v>18.8</v>
      </c>
      <c r="G22" s="10">
        <v>21.2</v>
      </c>
      <c r="H22" s="10">
        <v>24.2</v>
      </c>
      <c r="I22" s="10">
        <v>25.6</v>
      </c>
      <c r="J22" s="10">
        <v>29</v>
      </c>
      <c r="K22" s="10">
        <v>33.1</v>
      </c>
      <c r="L22" s="10">
        <v>33.200000000000003</v>
      </c>
      <c r="M22" s="10">
        <v>37.6</v>
      </c>
      <c r="N22" s="10">
        <v>43.2</v>
      </c>
      <c r="O22" s="10">
        <v>41.5</v>
      </c>
      <c r="P22" s="10">
        <v>47.1</v>
      </c>
      <c r="Q22" s="10">
        <v>54.4</v>
      </c>
      <c r="R22" s="10">
        <v>50.4</v>
      </c>
      <c r="S22" s="10">
        <v>57.4</v>
      </c>
      <c r="T22" s="10">
        <v>66.5</v>
      </c>
    </row>
    <row r="23" spans="1:20" x14ac:dyDescent="0.25">
      <c r="A23" s="114"/>
      <c r="B23" s="4">
        <v>20</v>
      </c>
      <c r="C23" s="10">
        <v>13.1</v>
      </c>
      <c r="D23" s="10">
        <v>14.8</v>
      </c>
      <c r="E23" s="10">
        <v>16.7</v>
      </c>
      <c r="F23" s="10">
        <v>19.100000000000001</v>
      </c>
      <c r="G23" s="10">
        <v>21.5</v>
      </c>
      <c r="H23" s="10">
        <v>24.5</v>
      </c>
      <c r="I23" s="10">
        <v>26</v>
      </c>
      <c r="J23" s="10">
        <v>29.4</v>
      </c>
      <c r="K23" s="10">
        <v>33.5</v>
      </c>
      <c r="L23" s="10">
        <v>33.6</v>
      </c>
      <c r="M23" s="10">
        <v>38.1</v>
      </c>
      <c r="N23" s="10">
        <v>43.8</v>
      </c>
      <c r="O23" s="10">
        <v>42</v>
      </c>
      <c r="P23" s="10">
        <v>47.8</v>
      </c>
      <c r="Q23" s="10">
        <v>55.1</v>
      </c>
      <c r="R23" s="10">
        <v>51.1</v>
      </c>
      <c r="S23" s="10">
        <v>58.2</v>
      </c>
      <c r="T23" s="10">
        <v>67.400000000000006</v>
      </c>
    </row>
    <row r="24" spans="1:20" x14ac:dyDescent="0.25">
      <c r="A24" s="114"/>
      <c r="B24" s="4">
        <v>30</v>
      </c>
      <c r="C24" s="10">
        <v>13.4</v>
      </c>
      <c r="D24" s="10">
        <v>15.1</v>
      </c>
      <c r="E24" s="10">
        <v>17.2</v>
      </c>
      <c r="F24" s="10">
        <v>19.600000000000001</v>
      </c>
      <c r="G24" s="10">
        <v>22.1</v>
      </c>
      <c r="H24" s="10">
        <v>25.1</v>
      </c>
      <c r="I24" s="10">
        <v>26.6</v>
      </c>
      <c r="J24" s="10">
        <v>30.1</v>
      </c>
      <c r="K24" s="10">
        <v>34.4</v>
      </c>
      <c r="L24" s="10">
        <v>34.5</v>
      </c>
      <c r="M24" s="10">
        <v>39.1</v>
      </c>
      <c r="N24" s="10">
        <v>44.9</v>
      </c>
      <c r="O24" s="10">
        <v>43.1</v>
      </c>
      <c r="P24" s="10">
        <v>49</v>
      </c>
      <c r="Q24" s="10">
        <v>56.5</v>
      </c>
      <c r="R24" s="10">
        <v>52.3</v>
      </c>
      <c r="S24" s="10">
        <v>59.6</v>
      </c>
      <c r="T24" s="10">
        <v>69.099999999999994</v>
      </c>
    </row>
    <row r="25" spans="1:20" x14ac:dyDescent="0.25">
      <c r="A25" s="114"/>
      <c r="B25" s="4">
        <v>40</v>
      </c>
      <c r="C25" s="10">
        <v>13.6</v>
      </c>
      <c r="D25" s="10">
        <v>15.3</v>
      </c>
      <c r="E25" s="10">
        <v>17.3</v>
      </c>
      <c r="F25" s="10">
        <v>19.8</v>
      </c>
      <c r="G25" s="10">
        <v>22.3</v>
      </c>
      <c r="H25" s="10">
        <v>25.4</v>
      </c>
      <c r="I25" s="10">
        <v>26.9</v>
      </c>
      <c r="J25" s="10">
        <v>30.5</v>
      </c>
      <c r="K25" s="10">
        <v>34.9</v>
      </c>
      <c r="L25" s="10">
        <v>35</v>
      </c>
      <c r="M25" s="10">
        <v>39.700000000000003</v>
      </c>
      <c r="N25" s="10">
        <v>45.6</v>
      </c>
      <c r="O25" s="10">
        <v>43.8</v>
      </c>
      <c r="P25" s="10">
        <v>49.8</v>
      </c>
      <c r="Q25" s="10">
        <v>57.5</v>
      </c>
      <c r="R25" s="10">
        <v>53.2</v>
      </c>
      <c r="S25" s="10">
        <v>60.7</v>
      </c>
      <c r="T25" s="10">
        <v>70.5</v>
      </c>
    </row>
    <row r="26" spans="1:20" x14ac:dyDescent="0.25">
      <c r="A26" s="115"/>
      <c r="B26" s="5">
        <v>50</v>
      </c>
      <c r="C26" s="11">
        <v>13.5</v>
      </c>
      <c r="D26" s="11">
        <v>15.3</v>
      </c>
      <c r="E26" s="11">
        <v>17.3</v>
      </c>
      <c r="F26" s="11">
        <v>19.8</v>
      </c>
      <c r="G26" s="11">
        <v>22.4</v>
      </c>
      <c r="H26" s="11">
        <v>25.5</v>
      </c>
      <c r="I26" s="11">
        <v>27</v>
      </c>
      <c r="J26" s="11">
        <v>30.6</v>
      </c>
      <c r="K26" s="11">
        <v>35.1</v>
      </c>
      <c r="L26" s="11">
        <v>35.200000000000003</v>
      </c>
      <c r="M26" s="11">
        <v>40</v>
      </c>
      <c r="N26" s="11">
        <v>46</v>
      </c>
      <c r="O26" s="11">
        <v>44.2</v>
      </c>
      <c r="P26" s="11">
        <v>50.4</v>
      </c>
      <c r="Q26" s="11">
        <v>58.3</v>
      </c>
      <c r="R26" s="11">
        <v>53.9</v>
      </c>
      <c r="S26" s="11">
        <v>61.7</v>
      </c>
      <c r="T26" s="11">
        <v>71.900000000000006</v>
      </c>
    </row>
    <row r="27" spans="1:20" x14ac:dyDescent="0.25">
      <c r="A27" s="113">
        <v>50</v>
      </c>
      <c r="B27" s="3">
        <v>0</v>
      </c>
      <c r="C27" s="9">
        <v>11</v>
      </c>
      <c r="D27" s="9">
        <v>12.3</v>
      </c>
      <c r="E27" s="9">
        <v>14</v>
      </c>
      <c r="F27" s="9">
        <v>15.7</v>
      </c>
      <c r="G27" s="9">
        <v>17.7</v>
      </c>
      <c r="H27" s="9">
        <v>20.2</v>
      </c>
      <c r="I27" s="9">
        <v>21.2</v>
      </c>
      <c r="J27" s="9">
        <v>23.9</v>
      </c>
      <c r="K27" s="9">
        <v>27.3</v>
      </c>
      <c r="L27" s="9">
        <v>27.2</v>
      </c>
      <c r="M27" s="9">
        <v>30.8</v>
      </c>
      <c r="N27" s="9">
        <v>35.299999999999997</v>
      </c>
      <c r="O27" s="9">
        <v>33.799999999999997</v>
      </c>
      <c r="P27" s="9">
        <v>38.299999999999997</v>
      </c>
      <c r="Q27" s="9">
        <v>44.1</v>
      </c>
      <c r="R27" s="9">
        <v>40.9</v>
      </c>
      <c r="S27" s="9">
        <v>46.4</v>
      </c>
      <c r="T27" s="9">
        <v>53.6</v>
      </c>
    </row>
    <row r="28" spans="1:20" x14ac:dyDescent="0.25">
      <c r="A28" s="114"/>
      <c r="B28" s="4">
        <v>10</v>
      </c>
      <c r="C28" s="10">
        <v>11.3</v>
      </c>
      <c r="D28" s="10">
        <v>12.7</v>
      </c>
      <c r="E28" s="10">
        <v>14.4</v>
      </c>
      <c r="F28" s="10">
        <v>16.3</v>
      </c>
      <c r="G28" s="10">
        <v>18.3</v>
      </c>
      <c r="H28" s="10">
        <v>20.8</v>
      </c>
      <c r="I28" s="10">
        <v>21.9</v>
      </c>
      <c r="J28" s="10">
        <v>24.7</v>
      </c>
      <c r="K28" s="10">
        <v>28.2</v>
      </c>
      <c r="L28" s="10">
        <v>28.1</v>
      </c>
      <c r="M28" s="10">
        <v>31.8</v>
      </c>
      <c r="N28" s="10">
        <v>36.5</v>
      </c>
      <c r="O28" s="10">
        <v>34.9</v>
      </c>
      <c r="P28" s="10">
        <v>39.6</v>
      </c>
      <c r="Q28" s="10">
        <v>45.5</v>
      </c>
      <c r="R28" s="10">
        <v>42.2</v>
      </c>
      <c r="S28" s="10">
        <v>48</v>
      </c>
      <c r="T28" s="10">
        <v>55.4</v>
      </c>
    </row>
    <row r="29" spans="1:20" x14ac:dyDescent="0.25">
      <c r="A29" s="114"/>
      <c r="B29" s="4">
        <v>15</v>
      </c>
      <c r="C29" s="10">
        <v>11.5</v>
      </c>
      <c r="D29" s="10">
        <v>12.9</v>
      </c>
      <c r="E29" s="10">
        <v>14.7</v>
      </c>
      <c r="F29" s="10">
        <v>16.5</v>
      </c>
      <c r="G29" s="10">
        <v>18.600000000000001</v>
      </c>
      <c r="H29" s="10">
        <v>21.1</v>
      </c>
      <c r="I29" s="10">
        <v>22.2</v>
      </c>
      <c r="J29" s="10">
        <v>25.1</v>
      </c>
      <c r="K29" s="10">
        <v>28.6</v>
      </c>
      <c r="L29" s="10">
        <v>28.6</v>
      </c>
      <c r="M29" s="10">
        <v>32.299999999999997</v>
      </c>
      <c r="N29" s="10">
        <v>37</v>
      </c>
      <c r="O29" s="10">
        <v>35.4</v>
      </c>
      <c r="P29" s="10">
        <v>40.200000000000003</v>
      </c>
      <c r="Q29" s="10">
        <v>46.2</v>
      </c>
      <c r="R29" s="10">
        <v>42.8</v>
      </c>
      <c r="S29" s="10">
        <v>48.7</v>
      </c>
      <c r="T29" s="10">
        <v>56.2</v>
      </c>
    </row>
    <row r="30" spans="1:20" x14ac:dyDescent="0.25">
      <c r="A30" s="114"/>
      <c r="B30" s="4">
        <v>20</v>
      </c>
      <c r="C30" s="10">
        <v>11.6</v>
      </c>
      <c r="D30" s="10">
        <v>13.1</v>
      </c>
      <c r="E30" s="10">
        <v>14.9</v>
      </c>
      <c r="F30" s="10">
        <v>16.7</v>
      </c>
      <c r="G30" s="10">
        <v>18.899999999999999</v>
      </c>
      <c r="H30" s="10">
        <v>21.4</v>
      </c>
      <c r="I30" s="10">
        <v>22.5</v>
      </c>
      <c r="J30" s="10">
        <v>25.4</v>
      </c>
      <c r="K30" s="10">
        <v>29</v>
      </c>
      <c r="L30" s="10">
        <v>28.9</v>
      </c>
      <c r="M30" s="10">
        <v>32.799999999999997</v>
      </c>
      <c r="N30" s="10">
        <v>37.5</v>
      </c>
      <c r="O30" s="10">
        <v>35.9</v>
      </c>
      <c r="P30" s="10">
        <v>40.700000000000003</v>
      </c>
      <c r="Q30" s="10">
        <v>46.8</v>
      </c>
      <c r="R30" s="10">
        <v>43.4</v>
      </c>
      <c r="S30" s="10">
        <v>49.3</v>
      </c>
      <c r="T30" s="10">
        <v>56.9</v>
      </c>
    </row>
    <row r="31" spans="1:20" x14ac:dyDescent="0.25">
      <c r="A31" s="114"/>
      <c r="B31" s="4">
        <v>30</v>
      </c>
      <c r="C31" s="10">
        <v>11.9</v>
      </c>
      <c r="D31" s="10">
        <v>13.4</v>
      </c>
      <c r="E31" s="10">
        <v>15.2</v>
      </c>
      <c r="F31" s="10">
        <v>17.2</v>
      </c>
      <c r="G31" s="10">
        <v>19.3</v>
      </c>
      <c r="H31" s="10">
        <v>22</v>
      </c>
      <c r="I31" s="10">
        <v>23.1</v>
      </c>
      <c r="J31" s="10">
        <v>26.1</v>
      </c>
      <c r="K31" s="10">
        <v>29.7</v>
      </c>
      <c r="L31" s="10">
        <v>29.7</v>
      </c>
      <c r="M31" s="10">
        <v>33.6</v>
      </c>
      <c r="N31" s="10">
        <v>38.4</v>
      </c>
      <c r="O31" s="10">
        <v>36.799999999999997</v>
      </c>
      <c r="P31" s="10">
        <v>41.8</v>
      </c>
      <c r="Q31" s="10">
        <v>48</v>
      </c>
      <c r="R31" s="10">
        <v>44.5</v>
      </c>
      <c r="S31" s="10">
        <v>50.6</v>
      </c>
      <c r="T31" s="10">
        <v>58.4</v>
      </c>
    </row>
    <row r="32" spans="1:20" x14ac:dyDescent="0.25">
      <c r="A32" s="114"/>
      <c r="B32" s="4">
        <v>40</v>
      </c>
      <c r="C32" s="10">
        <v>12.1</v>
      </c>
      <c r="D32" s="10">
        <v>13.6</v>
      </c>
      <c r="E32" s="10">
        <v>15.4</v>
      </c>
      <c r="F32" s="10">
        <v>17.3</v>
      </c>
      <c r="G32" s="10">
        <v>19.5</v>
      </c>
      <c r="H32" s="10">
        <v>22.2</v>
      </c>
      <c r="I32" s="10">
        <v>23.4</v>
      </c>
      <c r="J32" s="10">
        <v>26.4</v>
      </c>
      <c r="K32" s="10">
        <v>30.1</v>
      </c>
      <c r="L32" s="10">
        <v>30.1</v>
      </c>
      <c r="M32" s="10">
        <v>34</v>
      </c>
      <c r="N32" s="10">
        <v>39</v>
      </c>
      <c r="O32" s="10">
        <v>37.4</v>
      </c>
      <c r="P32" s="10">
        <v>42.4</v>
      </c>
      <c r="Q32" s="10">
        <v>48.8</v>
      </c>
      <c r="R32" s="10">
        <v>45.2</v>
      </c>
      <c r="S32" s="10">
        <v>51.4</v>
      </c>
      <c r="T32" s="10">
        <v>59.4</v>
      </c>
    </row>
    <row r="33" spans="1:20" x14ac:dyDescent="0.25">
      <c r="A33" s="115"/>
      <c r="B33" s="5">
        <v>50</v>
      </c>
      <c r="C33" s="11">
        <v>12</v>
      </c>
      <c r="D33" s="11">
        <v>13.6</v>
      </c>
      <c r="E33" s="11">
        <v>15.4</v>
      </c>
      <c r="F33" s="11">
        <v>17.3</v>
      </c>
      <c r="G33" s="11">
        <v>19.600000000000001</v>
      </c>
      <c r="H33" s="11">
        <v>22.3</v>
      </c>
      <c r="I33" s="11">
        <v>23.4</v>
      </c>
      <c r="J33" s="11">
        <v>26.5</v>
      </c>
      <c r="K33" s="11">
        <v>30.3</v>
      </c>
      <c r="L33" s="11">
        <v>30.2</v>
      </c>
      <c r="M33" s="11">
        <v>34.200000000000003</v>
      </c>
      <c r="N33" s="11">
        <v>39.299999999999997</v>
      </c>
      <c r="O33" s="11">
        <v>37.6</v>
      </c>
      <c r="P33" s="11">
        <v>42.8</v>
      </c>
      <c r="Q33" s="11">
        <v>49.3</v>
      </c>
      <c r="R33" s="11">
        <v>45.7</v>
      </c>
      <c r="S33" s="11">
        <v>52.1</v>
      </c>
      <c r="T33" s="11">
        <v>60.3</v>
      </c>
    </row>
    <row r="34" spans="1:20" x14ac:dyDescent="0.25">
      <c r="A34" s="110">
        <v>40</v>
      </c>
      <c r="B34" s="4">
        <v>0</v>
      </c>
      <c r="C34" s="10">
        <v>9.6</v>
      </c>
      <c r="D34" s="10">
        <v>10.8</v>
      </c>
      <c r="E34" s="10">
        <v>12.3</v>
      </c>
      <c r="F34" s="10">
        <v>13.5</v>
      </c>
      <c r="G34" s="9">
        <v>15.2</v>
      </c>
      <c r="H34" s="9">
        <v>17.3</v>
      </c>
      <c r="I34" s="9">
        <v>17.899999999999999</v>
      </c>
      <c r="J34" s="9">
        <v>20.2</v>
      </c>
      <c r="K34" s="9">
        <v>23</v>
      </c>
      <c r="L34" s="9">
        <v>22.8</v>
      </c>
      <c r="M34" s="9">
        <v>25.8</v>
      </c>
      <c r="N34" s="9">
        <v>29.4</v>
      </c>
      <c r="O34" s="9">
        <v>28.1</v>
      </c>
      <c r="P34" s="9">
        <v>31.8</v>
      </c>
      <c r="Q34" s="9">
        <v>36.4</v>
      </c>
      <c r="R34" s="9">
        <v>33.700000000000003</v>
      </c>
      <c r="S34" s="9">
        <v>38.200000000000003</v>
      </c>
      <c r="T34" s="9">
        <v>43.9</v>
      </c>
    </row>
    <row r="35" spans="1:20" x14ac:dyDescent="0.25">
      <c r="A35" s="111"/>
      <c r="B35" s="4">
        <v>10</v>
      </c>
      <c r="C35" s="12">
        <v>10</v>
      </c>
      <c r="D35" s="12">
        <v>11.2</v>
      </c>
      <c r="E35" s="12">
        <v>12.7</v>
      </c>
      <c r="F35" s="12">
        <v>14</v>
      </c>
      <c r="G35" s="10">
        <v>15.8</v>
      </c>
      <c r="H35" s="10">
        <v>17.899999999999999</v>
      </c>
      <c r="I35" s="10">
        <v>18.5</v>
      </c>
      <c r="J35" s="10">
        <v>20.9</v>
      </c>
      <c r="K35" s="10">
        <v>23.8</v>
      </c>
      <c r="L35" s="10">
        <v>23.6</v>
      </c>
      <c r="M35" s="10">
        <v>26.6</v>
      </c>
      <c r="N35" s="10">
        <v>30.4</v>
      </c>
      <c r="O35" s="10">
        <v>29</v>
      </c>
      <c r="P35" s="10">
        <v>32.799999999999997</v>
      </c>
      <c r="Q35" s="10">
        <v>37.6</v>
      </c>
      <c r="R35" s="10">
        <v>34.799999999999997</v>
      </c>
      <c r="S35" s="10">
        <v>39.5</v>
      </c>
      <c r="T35" s="10">
        <v>45.4</v>
      </c>
    </row>
    <row r="36" spans="1:20" x14ac:dyDescent="0.25">
      <c r="A36" s="111"/>
      <c r="B36" s="6">
        <v>15</v>
      </c>
      <c r="C36" s="10">
        <v>10.1</v>
      </c>
      <c r="D36" s="10">
        <v>11.4</v>
      </c>
      <c r="E36" s="10">
        <v>12.9</v>
      </c>
      <c r="F36" s="10">
        <v>14.2</v>
      </c>
      <c r="G36" s="10">
        <v>16</v>
      </c>
      <c r="H36" s="10">
        <v>18.100000000000001</v>
      </c>
      <c r="I36" s="10">
        <v>18.8</v>
      </c>
      <c r="J36" s="10">
        <v>21.2</v>
      </c>
      <c r="K36" s="10">
        <v>24.1</v>
      </c>
      <c r="L36" s="10">
        <v>23.9</v>
      </c>
      <c r="M36" s="10">
        <v>27</v>
      </c>
      <c r="N36" s="10">
        <v>30.8</v>
      </c>
      <c r="O36" s="10">
        <v>29.4</v>
      </c>
      <c r="P36" s="10">
        <v>33.299999999999997</v>
      </c>
      <c r="Q36" s="10">
        <v>38.200000000000003</v>
      </c>
      <c r="R36" s="10">
        <v>35.299999999999997</v>
      </c>
      <c r="S36" s="10">
        <v>40</v>
      </c>
      <c r="T36" s="10">
        <v>46</v>
      </c>
    </row>
    <row r="37" spans="1:20" x14ac:dyDescent="0.25">
      <c r="A37" s="111"/>
      <c r="B37" s="6">
        <v>20</v>
      </c>
      <c r="C37" s="10">
        <v>10.199999999999999</v>
      </c>
      <c r="D37" s="10">
        <v>11.5</v>
      </c>
      <c r="E37" s="10">
        <v>13.1</v>
      </c>
      <c r="F37" s="10">
        <v>14.4</v>
      </c>
      <c r="G37" s="10">
        <v>16.2</v>
      </c>
      <c r="H37" s="10">
        <v>18.399999999999999</v>
      </c>
      <c r="I37" s="10">
        <v>19.100000000000001</v>
      </c>
      <c r="J37" s="10">
        <v>21.5</v>
      </c>
      <c r="K37" s="10">
        <v>24.5</v>
      </c>
      <c r="L37" s="10">
        <v>24.2</v>
      </c>
      <c r="M37" s="10">
        <v>27.4</v>
      </c>
      <c r="N37" s="10">
        <v>31.3</v>
      </c>
      <c r="O37" s="10">
        <v>29.8</v>
      </c>
      <c r="P37" s="10">
        <v>33.799999999999997</v>
      </c>
      <c r="Q37" s="10">
        <v>38.700000000000003</v>
      </c>
      <c r="R37" s="10">
        <v>35.799999999999997</v>
      </c>
      <c r="S37" s="10">
        <v>40.6</v>
      </c>
      <c r="T37" s="10">
        <v>46.6</v>
      </c>
    </row>
    <row r="38" spans="1:20" x14ac:dyDescent="0.25">
      <c r="A38" s="111"/>
      <c r="B38" s="6">
        <v>30</v>
      </c>
      <c r="C38" s="10">
        <v>10.5</v>
      </c>
      <c r="D38" s="10">
        <v>11.8</v>
      </c>
      <c r="E38" s="10">
        <v>13.4</v>
      </c>
      <c r="F38" s="10">
        <v>14.8</v>
      </c>
      <c r="G38" s="10">
        <v>16.600000000000001</v>
      </c>
      <c r="H38" s="10">
        <v>18.899999999999999</v>
      </c>
      <c r="I38" s="10">
        <v>19.600000000000001</v>
      </c>
      <c r="J38" s="10">
        <v>22.1</v>
      </c>
      <c r="K38" s="10">
        <v>25.1</v>
      </c>
      <c r="L38" s="10">
        <v>24.9</v>
      </c>
      <c r="M38" s="10">
        <v>28.1</v>
      </c>
      <c r="N38" s="10">
        <v>32.1</v>
      </c>
      <c r="O38" s="10">
        <v>30.6</v>
      </c>
      <c r="P38" s="10">
        <v>34.6</v>
      </c>
      <c r="Q38" s="10">
        <v>39.700000000000003</v>
      </c>
      <c r="R38" s="10">
        <v>36.700000000000003</v>
      </c>
      <c r="S38" s="10">
        <v>41.6</v>
      </c>
      <c r="T38" s="10">
        <v>47.8</v>
      </c>
    </row>
    <row r="39" spans="1:20" x14ac:dyDescent="0.25">
      <c r="A39" s="111"/>
      <c r="B39" s="6">
        <v>40</v>
      </c>
      <c r="C39" s="10">
        <v>10.6</v>
      </c>
      <c r="D39" s="10">
        <v>11.9</v>
      </c>
      <c r="E39" s="10">
        <v>13.5</v>
      </c>
      <c r="F39" s="10">
        <v>14.9</v>
      </c>
      <c r="G39" s="10">
        <v>16.8</v>
      </c>
      <c r="H39" s="10">
        <v>19.100000000000001</v>
      </c>
      <c r="I39" s="10">
        <v>19.8</v>
      </c>
      <c r="J39" s="10">
        <v>22.3</v>
      </c>
      <c r="K39" s="10">
        <v>25.4</v>
      </c>
      <c r="L39" s="10">
        <v>25.2</v>
      </c>
      <c r="M39" s="10">
        <v>28.4</v>
      </c>
      <c r="N39" s="10">
        <v>32.5</v>
      </c>
      <c r="O39" s="10">
        <v>31</v>
      </c>
      <c r="P39" s="10">
        <v>35.1</v>
      </c>
      <c r="Q39" s="10">
        <v>40.200000000000003</v>
      </c>
      <c r="R39" s="10">
        <v>37.200000000000003</v>
      </c>
      <c r="S39" s="10">
        <v>42.2</v>
      </c>
      <c r="T39" s="10">
        <v>48.6</v>
      </c>
    </row>
    <row r="40" spans="1:20" x14ac:dyDescent="0.25">
      <c r="A40" s="112"/>
      <c r="B40" s="7">
        <v>50</v>
      </c>
      <c r="C40" s="11">
        <v>10.6</v>
      </c>
      <c r="D40" s="11">
        <v>11.9</v>
      </c>
      <c r="E40" s="11">
        <v>13.5</v>
      </c>
      <c r="F40" s="11">
        <v>14.9</v>
      </c>
      <c r="G40" s="11">
        <v>16.8</v>
      </c>
      <c r="H40" s="11">
        <v>19.100000000000001</v>
      </c>
      <c r="I40" s="11">
        <v>19.8</v>
      </c>
      <c r="J40" s="11">
        <v>22.3</v>
      </c>
      <c r="K40" s="11">
        <v>25.5</v>
      </c>
      <c r="L40" s="11">
        <v>25.2</v>
      </c>
      <c r="M40" s="11">
        <v>28.6</v>
      </c>
      <c r="N40" s="11">
        <v>32.700000000000003</v>
      </c>
      <c r="O40" s="11">
        <v>31.1</v>
      </c>
      <c r="P40" s="11">
        <v>35.299999999999997</v>
      </c>
      <c r="Q40" s="11">
        <v>40.6</v>
      </c>
      <c r="R40" s="11">
        <v>37.5</v>
      </c>
      <c r="S40" s="11">
        <v>42.6</v>
      </c>
      <c r="T40" s="11">
        <v>49.1</v>
      </c>
    </row>
  </sheetData>
  <mergeCells count="10">
    <mergeCell ref="A2:B3"/>
    <mergeCell ref="C2:T2"/>
    <mergeCell ref="A34:A40"/>
    <mergeCell ref="A27:A33"/>
    <mergeCell ref="A4:A5"/>
    <mergeCell ref="B4:B5"/>
    <mergeCell ref="C4:T4"/>
    <mergeCell ref="A6:A12"/>
    <mergeCell ref="A13:A19"/>
    <mergeCell ref="A20:A2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19"/>
  <sheetViews>
    <sheetView workbookViewId="0">
      <selection activeCell="B54" sqref="B54"/>
    </sheetView>
  </sheetViews>
  <sheetFormatPr defaultRowHeight="15.75" x14ac:dyDescent="0.25"/>
  <cols>
    <col min="1" max="13" width="5.85546875" style="37" customWidth="1"/>
    <col min="14" max="14" width="6.5703125" style="37" customWidth="1"/>
    <col min="15" max="16384" width="9.140625" style="37"/>
  </cols>
  <sheetData>
    <row r="1" spans="1:14" x14ac:dyDescent="0.25">
      <c r="A1" s="121" t="s">
        <v>76</v>
      </c>
      <c r="B1" s="121"/>
      <c r="C1" s="121"/>
      <c r="D1" s="121"/>
      <c r="E1" s="122"/>
      <c r="F1" s="123" t="s">
        <v>67</v>
      </c>
      <c r="G1" s="124"/>
      <c r="H1" s="124"/>
      <c r="I1" s="124"/>
      <c r="J1" s="124"/>
      <c r="K1" s="124"/>
      <c r="L1" s="124"/>
      <c r="M1" s="124"/>
      <c r="N1" s="124"/>
    </row>
    <row r="2" spans="1:14" x14ac:dyDescent="0.25">
      <c r="A2" s="132" t="s">
        <v>68</v>
      </c>
      <c r="B2" s="133"/>
      <c r="C2" s="133"/>
      <c r="D2" s="133"/>
      <c r="E2" s="134"/>
      <c r="F2" s="38">
        <v>10</v>
      </c>
      <c r="G2" s="38">
        <v>20</v>
      </c>
      <c r="H2" s="38">
        <v>30</v>
      </c>
      <c r="I2" s="38">
        <v>40</v>
      </c>
      <c r="J2" s="38">
        <v>50</v>
      </c>
      <c r="K2" s="38">
        <v>60</v>
      </c>
      <c r="L2" s="38">
        <v>70</v>
      </c>
      <c r="M2" s="38">
        <v>80</v>
      </c>
      <c r="N2" s="38">
        <v>90</v>
      </c>
    </row>
    <row r="3" spans="1:14" x14ac:dyDescent="0.25">
      <c r="A3" s="123" t="s">
        <v>69</v>
      </c>
      <c r="B3" s="124"/>
      <c r="C3" s="124"/>
      <c r="D3" s="124"/>
      <c r="E3" s="135"/>
      <c r="F3" s="38">
        <v>10</v>
      </c>
      <c r="G3" s="38">
        <v>20</v>
      </c>
      <c r="H3" s="38">
        <v>30</v>
      </c>
      <c r="I3" s="38">
        <v>40</v>
      </c>
      <c r="J3" s="38">
        <v>50</v>
      </c>
      <c r="K3" s="38">
        <v>60</v>
      </c>
      <c r="L3" s="38">
        <v>70</v>
      </c>
      <c r="M3" s="38">
        <v>80</v>
      </c>
      <c r="N3" s="38">
        <v>90</v>
      </c>
    </row>
    <row r="4" spans="1:14" x14ac:dyDescent="0.25">
      <c r="A4" s="145" t="s">
        <v>70</v>
      </c>
      <c r="B4" s="125" t="s">
        <v>71</v>
      </c>
      <c r="C4" s="126"/>
      <c r="D4" s="126"/>
      <c r="E4" s="127"/>
      <c r="F4" s="39">
        <v>7.8</v>
      </c>
      <c r="G4" s="39">
        <v>16.3</v>
      </c>
      <c r="H4" s="39">
        <v>25.3</v>
      </c>
      <c r="I4" s="39">
        <v>34.700000000000003</v>
      </c>
      <c r="J4" s="39">
        <v>44.7</v>
      </c>
      <c r="K4" s="39">
        <v>55</v>
      </c>
      <c r="L4" s="39">
        <v>65.7</v>
      </c>
      <c r="M4" s="39">
        <v>76.599999999999994</v>
      </c>
      <c r="N4" s="39">
        <v>87.9</v>
      </c>
    </row>
    <row r="5" spans="1:14" x14ac:dyDescent="0.25">
      <c r="A5" s="146"/>
      <c r="B5" s="131"/>
      <c r="C5" s="121"/>
      <c r="D5" s="121"/>
      <c r="E5" s="122"/>
      <c r="F5" s="39">
        <v>7.5</v>
      </c>
      <c r="G5" s="39">
        <v>15.4</v>
      </c>
      <c r="H5" s="39">
        <v>23.6</v>
      </c>
      <c r="I5" s="39">
        <v>32.4</v>
      </c>
      <c r="J5" s="39">
        <v>41.8</v>
      </c>
      <c r="K5" s="39">
        <v>51.8</v>
      </c>
      <c r="L5" s="39">
        <v>62.5</v>
      </c>
      <c r="M5" s="39">
        <v>74.099999999999994</v>
      </c>
      <c r="N5" s="39">
        <v>86.5</v>
      </c>
    </row>
    <row r="6" spans="1:14" x14ac:dyDescent="0.25">
      <c r="A6" s="146"/>
      <c r="B6" s="125" t="s">
        <v>72</v>
      </c>
      <c r="C6" s="126"/>
      <c r="D6" s="126"/>
      <c r="E6" s="127"/>
      <c r="F6" s="39">
        <v>7.3</v>
      </c>
      <c r="G6" s="39">
        <v>14.7</v>
      </c>
      <c r="H6" s="39">
        <v>22.3</v>
      </c>
      <c r="I6" s="39">
        <v>30.2</v>
      </c>
      <c r="J6" s="39">
        <v>38.6</v>
      </c>
      <c r="K6" s="39">
        <v>47.6</v>
      </c>
      <c r="L6" s="39">
        <v>57.4</v>
      </c>
      <c r="M6" s="39">
        <v>68.099999999999994</v>
      </c>
      <c r="N6" s="39">
        <v>80</v>
      </c>
    </row>
    <row r="7" spans="1:14" x14ac:dyDescent="0.25">
      <c r="A7" s="146"/>
      <c r="B7" s="128"/>
      <c r="C7" s="129"/>
      <c r="D7" s="129"/>
      <c r="E7" s="130"/>
      <c r="F7" s="39">
        <v>7</v>
      </c>
      <c r="G7" s="39">
        <v>13.8</v>
      </c>
      <c r="H7" s="39">
        <v>20.5</v>
      </c>
      <c r="I7" s="39">
        <v>27.4</v>
      </c>
      <c r="J7" s="39">
        <v>34.799999999999997</v>
      </c>
      <c r="K7" s="39">
        <v>42.7</v>
      </c>
      <c r="L7" s="39">
        <v>51.5</v>
      </c>
      <c r="M7" s="39">
        <v>61.3</v>
      </c>
      <c r="N7" s="39">
        <v>72.400000000000006</v>
      </c>
    </row>
    <row r="8" spans="1:14" x14ac:dyDescent="0.25">
      <c r="A8" s="147"/>
      <c r="B8" s="131"/>
      <c r="C8" s="121"/>
      <c r="D8" s="121"/>
      <c r="E8" s="122"/>
      <c r="F8" s="39">
        <v>6.7</v>
      </c>
      <c r="G8" s="39">
        <v>13.1</v>
      </c>
      <c r="H8" s="39">
        <v>19.2</v>
      </c>
      <c r="I8" s="39">
        <v>25.3</v>
      </c>
      <c r="J8" s="39">
        <v>31.8</v>
      </c>
      <c r="K8" s="39">
        <v>38.799999999999997</v>
      </c>
      <c r="L8" s="39">
        <v>46.6</v>
      </c>
      <c r="M8" s="39">
        <v>55.4</v>
      </c>
      <c r="N8" s="39">
        <v>65.5</v>
      </c>
    </row>
    <row r="12" spans="1:14" ht="15.75" customHeight="1" x14ac:dyDescent="0.25">
      <c r="A12" s="148" t="s">
        <v>77</v>
      </c>
      <c r="B12" s="148"/>
      <c r="C12" s="148"/>
      <c r="D12" s="148"/>
      <c r="E12" s="149"/>
      <c r="F12" s="139" t="s">
        <v>67</v>
      </c>
      <c r="G12" s="140"/>
      <c r="H12" s="140"/>
      <c r="I12" s="140"/>
      <c r="J12" s="140"/>
      <c r="K12" s="140"/>
      <c r="L12" s="140"/>
      <c r="M12" s="140"/>
      <c r="N12" s="141"/>
    </row>
    <row r="13" spans="1:14" x14ac:dyDescent="0.25">
      <c r="A13" s="142" t="s">
        <v>68</v>
      </c>
      <c r="B13" s="143"/>
      <c r="C13" s="143"/>
      <c r="D13" s="143"/>
      <c r="E13" s="144"/>
      <c r="F13" s="40">
        <v>10</v>
      </c>
      <c r="G13" s="40">
        <v>20</v>
      </c>
      <c r="H13" s="40">
        <v>30</v>
      </c>
      <c r="I13" s="40">
        <v>40</v>
      </c>
      <c r="J13" s="40">
        <v>50</v>
      </c>
      <c r="K13" s="40">
        <v>60</v>
      </c>
      <c r="L13" s="40">
        <v>70</v>
      </c>
      <c r="M13" s="40">
        <v>80</v>
      </c>
      <c r="N13" s="40">
        <v>90</v>
      </c>
    </row>
    <row r="14" spans="1:14" ht="15.75" customHeight="1" x14ac:dyDescent="0.25">
      <c r="A14" s="142" t="s">
        <v>69</v>
      </c>
      <c r="B14" s="143"/>
      <c r="C14" s="143"/>
      <c r="D14" s="143"/>
      <c r="E14" s="144"/>
      <c r="F14" s="40">
        <v>10</v>
      </c>
      <c r="G14" s="40">
        <v>20</v>
      </c>
      <c r="H14" s="40">
        <v>30</v>
      </c>
      <c r="I14" s="40">
        <v>40</v>
      </c>
      <c r="J14" s="40">
        <v>50</v>
      </c>
      <c r="K14" s="40">
        <v>60</v>
      </c>
      <c r="L14" s="40">
        <v>70</v>
      </c>
      <c r="M14" s="40">
        <v>80</v>
      </c>
      <c r="N14" s="40">
        <v>90</v>
      </c>
    </row>
    <row r="15" spans="1:14" ht="15.75" customHeight="1" x14ac:dyDescent="0.25">
      <c r="A15" s="136" t="s">
        <v>70</v>
      </c>
      <c r="B15" s="125" t="s">
        <v>71</v>
      </c>
      <c r="C15" s="126"/>
      <c r="D15" s="126"/>
      <c r="E15" s="127"/>
      <c r="F15" s="41">
        <v>7</v>
      </c>
      <c r="G15" s="41">
        <v>14.6</v>
      </c>
      <c r="H15" s="41">
        <v>22.8</v>
      </c>
      <c r="I15" s="41">
        <v>31.4</v>
      </c>
      <c r="J15" s="41">
        <v>40.5</v>
      </c>
      <c r="K15" s="41">
        <v>49.9</v>
      </c>
      <c r="L15" s="41">
        <v>59.7</v>
      </c>
      <c r="M15" s="41">
        <v>69.8</v>
      </c>
      <c r="N15" s="41">
        <v>80</v>
      </c>
    </row>
    <row r="16" spans="1:14" x14ac:dyDescent="0.25">
      <c r="A16" s="137"/>
      <c r="B16" s="131"/>
      <c r="C16" s="121"/>
      <c r="D16" s="121"/>
      <c r="E16" s="122"/>
      <c r="F16" s="41">
        <v>5.8</v>
      </c>
      <c r="G16" s="41">
        <v>12.3</v>
      </c>
      <c r="H16" s="41">
        <v>19.5</v>
      </c>
      <c r="I16" s="41">
        <v>27.2</v>
      </c>
      <c r="J16" s="41">
        <v>35.6</v>
      </c>
      <c r="K16" s="41">
        <v>44.5</v>
      </c>
      <c r="L16" s="41">
        <v>53.9</v>
      </c>
      <c r="M16" s="41">
        <v>63.7</v>
      </c>
      <c r="N16" s="41">
        <v>74.099999999999994</v>
      </c>
    </row>
    <row r="17" spans="1:14" ht="15.75" customHeight="1" x14ac:dyDescent="0.25">
      <c r="A17" s="137"/>
      <c r="B17" s="125" t="s">
        <v>72</v>
      </c>
      <c r="C17" s="126"/>
      <c r="D17" s="126"/>
      <c r="E17" s="127"/>
      <c r="F17" s="41">
        <v>4.3</v>
      </c>
      <c r="G17" s="42">
        <v>9.1999999999999993</v>
      </c>
      <c r="H17" s="41">
        <v>14.7</v>
      </c>
      <c r="I17" s="41">
        <v>20.7</v>
      </c>
      <c r="J17" s="41">
        <v>27.2</v>
      </c>
      <c r="K17" s="41">
        <v>34.4</v>
      </c>
      <c r="L17" s="41">
        <v>42</v>
      </c>
      <c r="M17" s="41">
        <v>50.2</v>
      </c>
      <c r="N17" s="41">
        <v>59</v>
      </c>
    </row>
    <row r="18" spans="1:14" x14ac:dyDescent="0.25">
      <c r="A18" s="137"/>
      <c r="B18" s="128"/>
      <c r="C18" s="129"/>
      <c r="D18" s="129"/>
      <c r="E18" s="130"/>
      <c r="F18" s="41">
        <v>2.5</v>
      </c>
      <c r="G18" s="42">
        <v>5.6</v>
      </c>
      <c r="H18" s="42">
        <v>9.1</v>
      </c>
      <c r="I18" s="41">
        <v>13.1</v>
      </c>
      <c r="J18" s="41">
        <v>17.8</v>
      </c>
      <c r="K18" s="41">
        <v>23</v>
      </c>
      <c r="L18" s="41">
        <v>28.8</v>
      </c>
      <c r="M18" s="41">
        <v>35.200000000000003</v>
      </c>
      <c r="N18" s="41">
        <v>42.3</v>
      </c>
    </row>
    <row r="19" spans="1:14" x14ac:dyDescent="0.25">
      <c r="A19" s="138"/>
      <c r="B19" s="131"/>
      <c r="C19" s="121"/>
      <c r="D19" s="121"/>
      <c r="E19" s="122"/>
      <c r="F19" s="41">
        <v>1.8</v>
      </c>
      <c r="G19" s="42">
        <v>3.8</v>
      </c>
      <c r="H19" s="42">
        <v>6.1</v>
      </c>
      <c r="I19" s="42">
        <v>8.8000000000000007</v>
      </c>
      <c r="J19" s="41">
        <v>11.9</v>
      </c>
      <c r="K19" s="41">
        <v>15.5</v>
      </c>
      <c r="L19" s="41">
        <v>19.600000000000001</v>
      </c>
      <c r="M19" s="41">
        <v>24.4</v>
      </c>
      <c r="N19" s="41">
        <v>29.8</v>
      </c>
    </row>
  </sheetData>
  <mergeCells count="14">
    <mergeCell ref="A1:E1"/>
    <mergeCell ref="F1:N1"/>
    <mergeCell ref="B17:E19"/>
    <mergeCell ref="B15:E16"/>
    <mergeCell ref="A2:E2"/>
    <mergeCell ref="A3:E3"/>
    <mergeCell ref="A15:A19"/>
    <mergeCell ref="F12:N12"/>
    <mergeCell ref="A13:E13"/>
    <mergeCell ref="A14:E14"/>
    <mergeCell ref="A4:A8"/>
    <mergeCell ref="B4:E5"/>
    <mergeCell ref="B6:E8"/>
    <mergeCell ref="A12:E1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X25"/>
  <sheetViews>
    <sheetView workbookViewId="0">
      <selection activeCell="B54" sqref="B54"/>
    </sheetView>
  </sheetViews>
  <sheetFormatPr defaultRowHeight="15.75" x14ac:dyDescent="0.25"/>
  <cols>
    <col min="1" max="1" width="23.5703125" style="49" customWidth="1"/>
    <col min="2" max="2" width="13.85546875" style="49" customWidth="1"/>
    <col min="3" max="7" width="6" style="49" customWidth="1"/>
    <col min="8" max="8" width="14.140625" style="49" customWidth="1"/>
    <col min="9" max="9" width="15.28515625" style="49" customWidth="1"/>
    <col min="10" max="10" width="24.7109375" style="49" customWidth="1"/>
    <col min="11" max="23" width="6" style="49" customWidth="1"/>
  </cols>
  <sheetData>
    <row r="1" spans="1:24" ht="16.5" thickBot="1" x14ac:dyDescent="0.3">
      <c r="B1" s="150" t="s">
        <v>117</v>
      </c>
      <c r="C1" s="150"/>
      <c r="D1" s="150"/>
      <c r="E1" s="150"/>
      <c r="F1" s="150"/>
      <c r="G1" s="150"/>
      <c r="H1" s="150"/>
      <c r="I1" s="150"/>
    </row>
    <row r="2" spans="1:24" ht="15" customHeight="1" x14ac:dyDescent="0.25">
      <c r="A2" s="60"/>
      <c r="B2" s="162" t="s">
        <v>99</v>
      </c>
      <c r="C2" s="163"/>
      <c r="D2" s="163"/>
      <c r="E2" s="163"/>
      <c r="F2" s="163"/>
      <c r="G2" s="163"/>
      <c r="H2" s="163"/>
      <c r="I2" s="163"/>
      <c r="J2" s="164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47"/>
    </row>
    <row r="3" spans="1:24" ht="15" customHeight="1" thickBot="1" x14ac:dyDescent="0.3">
      <c r="A3" s="60"/>
      <c r="B3" s="61" t="s">
        <v>100</v>
      </c>
      <c r="C3" s="58">
        <v>17</v>
      </c>
      <c r="D3" s="58">
        <v>20</v>
      </c>
      <c r="E3" s="58">
        <v>23</v>
      </c>
      <c r="F3" s="58">
        <v>25</v>
      </c>
      <c r="G3" s="58">
        <v>28</v>
      </c>
      <c r="H3" s="58">
        <v>32</v>
      </c>
      <c r="I3" s="58" t="s">
        <v>101</v>
      </c>
      <c r="J3" s="62" t="s">
        <v>102</v>
      </c>
      <c r="K3" s="52"/>
      <c r="M3" s="52"/>
      <c r="N3" s="52"/>
      <c r="P3" s="52"/>
      <c r="R3" s="50"/>
      <c r="S3" s="50"/>
      <c r="T3" s="50"/>
      <c r="V3" s="50"/>
      <c r="W3" s="50"/>
      <c r="X3" s="47"/>
    </row>
    <row r="4" spans="1:24" ht="15" customHeight="1" x14ac:dyDescent="0.25">
      <c r="A4" s="60"/>
      <c r="B4" s="162" t="s">
        <v>103</v>
      </c>
      <c r="C4" s="163"/>
      <c r="D4" s="163"/>
      <c r="E4" s="163"/>
      <c r="F4" s="163"/>
      <c r="G4" s="163"/>
      <c r="H4" s="163"/>
      <c r="I4" s="163"/>
      <c r="J4" s="164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47"/>
    </row>
    <row r="5" spans="1:24" ht="15" customHeight="1" thickBot="1" x14ac:dyDescent="0.3">
      <c r="A5" s="60"/>
      <c r="B5" s="61" t="s">
        <v>104</v>
      </c>
      <c r="C5" s="58">
        <v>2.6</v>
      </c>
      <c r="D5" s="58">
        <v>3.1</v>
      </c>
      <c r="E5" s="58">
        <v>3.5</v>
      </c>
      <c r="F5" s="58">
        <v>3.9</v>
      </c>
      <c r="G5" s="58">
        <v>4.4000000000000004</v>
      </c>
      <c r="H5" s="58">
        <v>4.9000000000000004</v>
      </c>
      <c r="I5" s="58" t="s">
        <v>105</v>
      </c>
      <c r="J5" s="62" t="s">
        <v>106</v>
      </c>
      <c r="K5" s="54"/>
      <c r="M5" s="54"/>
      <c r="N5" s="54"/>
      <c r="P5" s="54"/>
      <c r="R5" s="50"/>
      <c r="S5" s="50"/>
      <c r="T5" s="50"/>
      <c r="V5" s="50"/>
      <c r="W5" s="50"/>
      <c r="X5" s="47"/>
    </row>
    <row r="6" spans="1:24" ht="15" customHeight="1" x14ac:dyDescent="0.25">
      <c r="A6" s="63" t="s">
        <v>107</v>
      </c>
      <c r="B6" s="154" t="s">
        <v>108</v>
      </c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155" t="s">
        <v>109</v>
      </c>
      <c r="J6" s="161" t="s">
        <v>110</v>
      </c>
      <c r="K6" s="52"/>
      <c r="M6" s="52"/>
      <c r="N6" s="52"/>
      <c r="P6" s="52"/>
      <c r="R6" s="55"/>
      <c r="S6" s="55"/>
      <c r="T6" s="55"/>
      <c r="V6" s="50"/>
      <c r="W6" s="50"/>
      <c r="X6" s="47"/>
    </row>
    <row r="7" spans="1:24" ht="15" customHeight="1" thickBot="1" x14ac:dyDescent="0.3">
      <c r="A7" s="64" t="s">
        <v>111</v>
      </c>
      <c r="B7" s="153"/>
      <c r="C7" s="58">
        <v>10</v>
      </c>
      <c r="D7" s="58">
        <v>20</v>
      </c>
      <c r="E7" s="58">
        <v>30</v>
      </c>
      <c r="F7" s="58">
        <v>40</v>
      </c>
      <c r="G7" s="58">
        <v>50</v>
      </c>
      <c r="H7" s="58">
        <v>60</v>
      </c>
      <c r="I7" s="156"/>
      <c r="J7" s="158"/>
      <c r="K7" s="52"/>
      <c r="M7" s="52"/>
      <c r="N7" s="52"/>
      <c r="P7" s="52"/>
      <c r="R7" s="55"/>
      <c r="S7" s="55"/>
      <c r="T7" s="55"/>
      <c r="U7" s="50"/>
      <c r="V7" s="50"/>
      <c r="W7" s="50"/>
      <c r="X7" s="47"/>
    </row>
    <row r="8" spans="1:24" ht="15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52"/>
      <c r="M8" s="52"/>
      <c r="N8" s="52"/>
      <c r="O8" s="52"/>
      <c r="P8" s="52"/>
      <c r="Q8" s="55"/>
      <c r="R8" s="55"/>
      <c r="S8" s="55"/>
      <c r="T8" s="55"/>
      <c r="U8" s="50"/>
      <c r="V8" s="50"/>
      <c r="W8" s="50"/>
      <c r="X8" s="47"/>
    </row>
    <row r="9" spans="1:24" ht="15" customHeight="1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  <c r="K9" s="52"/>
      <c r="L9" s="52"/>
      <c r="M9" s="52"/>
      <c r="N9" s="52"/>
      <c r="O9" s="52"/>
      <c r="P9" s="52"/>
      <c r="Q9" s="55"/>
      <c r="R9" s="55"/>
      <c r="S9" s="55"/>
      <c r="T9" s="55"/>
      <c r="U9" s="50"/>
      <c r="V9" s="50"/>
      <c r="W9" s="50"/>
      <c r="X9" s="47"/>
    </row>
    <row r="10" spans="1:24" ht="15" customHeight="1" thickBot="1" x14ac:dyDescent="0.3">
      <c r="A10" s="65"/>
      <c r="B10" s="151" t="s">
        <v>118</v>
      </c>
      <c r="C10" s="151"/>
      <c r="D10" s="151"/>
      <c r="E10" s="151"/>
      <c r="F10" s="151"/>
      <c r="G10" s="151"/>
      <c r="H10" s="151"/>
      <c r="I10" s="151"/>
      <c r="J10" s="65"/>
      <c r="K10" s="52"/>
      <c r="L10" s="52"/>
      <c r="M10" s="52"/>
      <c r="N10" s="52"/>
      <c r="O10" s="52"/>
      <c r="P10" s="52"/>
      <c r="Q10" s="55"/>
      <c r="R10" s="55"/>
      <c r="S10" s="55"/>
      <c r="T10" s="55"/>
      <c r="U10" s="50"/>
      <c r="V10" s="50"/>
      <c r="W10" s="50"/>
      <c r="X10" s="47"/>
    </row>
    <row r="11" spans="1:24" ht="15" customHeight="1" x14ac:dyDescent="0.25">
      <c r="A11" s="60"/>
      <c r="B11" s="162" t="s">
        <v>99</v>
      </c>
      <c r="C11" s="163"/>
      <c r="D11" s="163"/>
      <c r="E11" s="163"/>
      <c r="F11" s="163"/>
      <c r="G11" s="163"/>
      <c r="H11" s="163"/>
      <c r="I11" s="164"/>
      <c r="J11" s="65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47"/>
    </row>
    <row r="12" spans="1:24" ht="15" customHeight="1" thickBot="1" x14ac:dyDescent="0.3">
      <c r="A12" s="60"/>
      <c r="B12" s="61" t="s">
        <v>100</v>
      </c>
      <c r="C12" s="67">
        <v>17</v>
      </c>
      <c r="D12" s="67">
        <v>19</v>
      </c>
      <c r="E12" s="67">
        <v>20.9</v>
      </c>
      <c r="F12" s="67">
        <v>23.5</v>
      </c>
      <c r="G12" s="67">
        <v>26.9</v>
      </c>
      <c r="H12" s="58" t="s">
        <v>112</v>
      </c>
      <c r="I12" s="62" t="s">
        <v>113</v>
      </c>
      <c r="J12" s="65"/>
      <c r="L12" s="54"/>
      <c r="N12" s="54"/>
      <c r="O12" s="54"/>
      <c r="Q12" s="50"/>
      <c r="R12" s="50"/>
      <c r="S12" s="50"/>
      <c r="U12" s="50"/>
      <c r="V12" s="50"/>
      <c r="W12" s="50"/>
      <c r="X12" s="47"/>
    </row>
    <row r="13" spans="1:24" ht="15" customHeight="1" x14ac:dyDescent="0.25">
      <c r="A13" s="60"/>
      <c r="B13" s="162" t="s">
        <v>103</v>
      </c>
      <c r="C13" s="163"/>
      <c r="D13" s="163"/>
      <c r="E13" s="163"/>
      <c r="F13" s="163"/>
      <c r="G13" s="163"/>
      <c r="H13" s="163"/>
      <c r="I13" s="164"/>
      <c r="J13" s="65"/>
      <c r="L13" s="50"/>
      <c r="N13" s="50"/>
      <c r="O13" s="50"/>
      <c r="Q13" s="50"/>
      <c r="R13" s="50"/>
      <c r="S13" s="50"/>
      <c r="U13" s="50"/>
      <c r="V13" s="50"/>
      <c r="W13" s="50"/>
      <c r="X13" s="47"/>
    </row>
    <row r="14" spans="1:24" ht="15" customHeight="1" thickBot="1" x14ac:dyDescent="0.3">
      <c r="A14" s="60"/>
      <c r="B14" s="61" t="s">
        <v>114</v>
      </c>
      <c r="C14" s="58">
        <v>2.6</v>
      </c>
      <c r="D14" s="58">
        <v>3</v>
      </c>
      <c r="E14" s="58">
        <v>3.3</v>
      </c>
      <c r="F14" s="58">
        <v>3.8</v>
      </c>
      <c r="G14" s="58">
        <v>4.5</v>
      </c>
      <c r="H14" s="58" t="s">
        <v>115</v>
      </c>
      <c r="I14" s="62" t="s">
        <v>116</v>
      </c>
      <c r="J14" s="65"/>
      <c r="L14" s="54"/>
      <c r="N14" s="54"/>
      <c r="O14" s="54"/>
      <c r="Q14" s="50"/>
      <c r="R14" s="50"/>
      <c r="S14" s="50"/>
      <c r="U14" s="50"/>
      <c r="V14" s="50"/>
      <c r="W14" s="50"/>
      <c r="X14" s="47"/>
    </row>
    <row r="15" spans="1:24" ht="15" customHeight="1" x14ac:dyDescent="0.25">
      <c r="A15" s="63" t="s">
        <v>107</v>
      </c>
      <c r="B15" s="152" t="s">
        <v>108</v>
      </c>
      <c r="C15" s="66">
        <v>1</v>
      </c>
      <c r="D15" s="66">
        <v>4</v>
      </c>
      <c r="E15" s="66">
        <v>5</v>
      </c>
      <c r="F15" s="66">
        <v>6</v>
      </c>
      <c r="G15" s="66">
        <v>7</v>
      </c>
      <c r="H15" s="159" t="s">
        <v>109</v>
      </c>
      <c r="I15" s="157" t="s">
        <v>110</v>
      </c>
      <c r="J15" s="65"/>
      <c r="L15" s="52"/>
      <c r="N15" s="52"/>
      <c r="O15" s="52"/>
      <c r="Q15" s="55"/>
      <c r="R15" s="55"/>
      <c r="S15" s="55"/>
      <c r="U15" s="50"/>
      <c r="V15" s="50"/>
      <c r="W15" s="50"/>
      <c r="X15" s="47"/>
    </row>
    <row r="16" spans="1:24" ht="15" customHeight="1" thickBot="1" x14ac:dyDescent="0.3">
      <c r="A16" s="64" t="s">
        <v>111</v>
      </c>
      <c r="B16" s="153"/>
      <c r="C16" s="58">
        <v>6.7</v>
      </c>
      <c r="D16" s="58">
        <v>16</v>
      </c>
      <c r="E16" s="58">
        <v>24.1</v>
      </c>
      <c r="F16" s="58">
        <v>34.200000000000003</v>
      </c>
      <c r="G16" s="58">
        <v>45.9</v>
      </c>
      <c r="H16" s="160"/>
      <c r="I16" s="158"/>
      <c r="J16" s="65"/>
      <c r="L16" s="54"/>
      <c r="N16" s="54"/>
      <c r="O16" s="54"/>
      <c r="P16" s="55"/>
      <c r="Q16" s="55"/>
      <c r="R16" s="55"/>
      <c r="S16" s="55"/>
      <c r="T16" s="50"/>
      <c r="U16" s="50"/>
      <c r="V16" s="50"/>
      <c r="W16" s="50"/>
      <c r="X16" s="47"/>
    </row>
    <row r="17" spans="1:24" ht="15" customHeight="1" x14ac:dyDescent="0.25">
      <c r="A17" s="48"/>
      <c r="B17" s="48"/>
      <c r="C17" s="50"/>
      <c r="D17" s="50"/>
      <c r="E17" s="50"/>
      <c r="F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48"/>
      <c r="X17" s="47"/>
    </row>
    <row r="18" spans="1:24" ht="15" customHeight="1" x14ac:dyDescent="0.25">
      <c r="A18" s="50"/>
      <c r="B18" s="50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1"/>
      <c r="S18" s="52"/>
      <c r="T18" s="52"/>
      <c r="U18" s="52"/>
      <c r="V18" s="51"/>
      <c r="W18" s="48"/>
      <c r="X18" s="47"/>
    </row>
    <row r="19" spans="1:24" ht="15" customHeight="1" x14ac:dyDescent="0.25">
      <c r="A19" s="50"/>
      <c r="B19" s="50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1"/>
      <c r="S19" s="52"/>
      <c r="T19" s="52"/>
      <c r="U19" s="52"/>
      <c r="V19" s="51"/>
      <c r="W19" s="48"/>
      <c r="X19" s="47"/>
    </row>
    <row r="20" spans="1:24" ht="15" customHeight="1" x14ac:dyDescent="0.25">
      <c r="A20" s="56"/>
      <c r="B20" s="50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3"/>
      <c r="S20" s="54"/>
      <c r="T20" s="54"/>
      <c r="U20" s="54"/>
      <c r="V20" s="53"/>
      <c r="W20" s="48"/>
      <c r="X20" s="47"/>
    </row>
    <row r="21" spans="1:24" x14ac:dyDescent="0.25">
      <c r="A21" s="56"/>
      <c r="B21" s="50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3"/>
      <c r="S21" s="54"/>
      <c r="T21" s="54"/>
      <c r="U21" s="54"/>
      <c r="V21" s="53"/>
      <c r="W21" s="48"/>
      <c r="X21" s="47"/>
    </row>
    <row r="22" spans="1:24" ht="15" customHeight="1" x14ac:dyDescent="0.25">
      <c r="A22" s="56"/>
      <c r="B22" s="50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3"/>
      <c r="S22" s="54"/>
      <c r="T22" s="54"/>
      <c r="U22" s="54"/>
      <c r="V22" s="53"/>
      <c r="W22" s="48"/>
      <c r="X22" s="47"/>
    </row>
    <row r="23" spans="1:24" x14ac:dyDescent="0.25">
      <c r="A23" s="56"/>
      <c r="B23" s="50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3"/>
      <c r="S23" s="54"/>
      <c r="T23" s="54"/>
      <c r="U23" s="54"/>
      <c r="V23" s="53"/>
      <c r="W23" s="48"/>
      <c r="X23" s="47"/>
    </row>
    <row r="24" spans="1:24" x14ac:dyDescent="0.25">
      <c r="A24" s="56"/>
      <c r="B24" s="50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3"/>
      <c r="S24" s="54"/>
      <c r="T24" s="54"/>
      <c r="U24" s="54"/>
      <c r="V24" s="53"/>
      <c r="W24" s="48"/>
      <c r="X24" s="47"/>
    </row>
    <row r="25" spans="1:24" x14ac:dyDescent="0.25">
      <c r="A25" s="5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7"/>
    </row>
  </sheetData>
  <mergeCells count="12">
    <mergeCell ref="J6:J7"/>
    <mergeCell ref="B4:J4"/>
    <mergeCell ref="B2:J2"/>
    <mergeCell ref="B11:I11"/>
    <mergeCell ref="B13:I13"/>
    <mergeCell ref="B1:I1"/>
    <mergeCell ref="B10:I10"/>
    <mergeCell ref="B15:B16"/>
    <mergeCell ref="B6:B7"/>
    <mergeCell ref="I6:I7"/>
    <mergeCell ref="I15:I16"/>
    <mergeCell ref="H15:H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11</vt:i4>
      </vt:variant>
    </vt:vector>
  </HeadingPairs>
  <TitlesOfParts>
    <vt:vector size="16" baseType="lpstr">
      <vt:lpstr>737-800</vt:lpstr>
      <vt:lpstr>Calculations</vt:lpstr>
      <vt:lpstr>Data - brake energy</vt:lpstr>
      <vt:lpstr>Data - Events</vt:lpstr>
      <vt:lpstr>Data - cooling time</vt:lpstr>
      <vt:lpstr>Brake_monitor_temp</vt:lpstr>
      <vt:lpstr>Brakes_ON_speed</vt:lpstr>
      <vt:lpstr>Event</vt:lpstr>
      <vt:lpstr>Headwind_component</vt:lpstr>
      <vt:lpstr>OAT</vt:lpstr>
      <vt:lpstr>Pressure_altitude</vt:lpstr>
      <vt:lpstr>Reverse_credit</vt:lpstr>
      <vt:lpstr>Taxi_miles</vt:lpstr>
      <vt:lpstr>Type_of_brakes</vt:lpstr>
      <vt:lpstr>Using_brake_monitor</vt:lpstr>
      <vt:lpstr>Weight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Klapka</dc:creator>
  <cp:lastModifiedBy>Kuba</cp:lastModifiedBy>
  <dcterms:created xsi:type="dcterms:W3CDTF">2013-10-28T20:32:24Z</dcterms:created>
  <dcterms:modified xsi:type="dcterms:W3CDTF">2015-09-03T19:37:30Z</dcterms:modified>
</cp:coreProperties>
</file>